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codeName="ThisWorkbook" defaultThemeVersion="166925"/>
  <mc:AlternateContent xmlns:mc="http://schemas.openxmlformats.org/markup-compatibility/2006">
    <mc:Choice Requires="x15">
      <x15ac:absPath xmlns:x15ac="http://schemas.microsoft.com/office/spreadsheetml/2010/11/ac" url="https://d.docs.live.net/be70616f08ddf8ef/PhD/Publications/Bagust and Beale Approach/KM ^M Piecewise/"/>
    </mc:Choice>
  </mc:AlternateContent>
  <xr:revisionPtr revIDLastSave="51" documentId="13_ncr:1_{C83AEDB4-9ACA-49D1-9A4C-BF400CCAE20D}" xr6:coauthVersionLast="47" xr6:coauthVersionMax="47" xr10:uidLastSave="{92AFA463-3971-4D14-9B58-3590981CF5B5}"/>
  <bookViews>
    <workbookView xWindow="105" yWindow="3540" windowWidth="21600" windowHeight="11295" firstSheet="15" activeTab="23" xr2:uid="{40880E3F-7D1D-4B29-8B52-F60335647E83}"/>
  </bookViews>
  <sheets>
    <sheet name="TA_Final (2)" sheetId="4" r:id="rId1"/>
    <sheet name="TA_Final" sheetId="1" r:id="rId2"/>
    <sheet name="TA_Include" sheetId="3" r:id="rId3"/>
    <sheet name="TA_Include_tidy_backup" sheetId="6" state="hidden" r:id="rId4"/>
    <sheet name="TA_Include_tidy" sheetId="7" r:id="rId5"/>
    <sheet name="TA259" sheetId="8" r:id="rId6"/>
    <sheet name="TA268" sheetId="13" r:id="rId7"/>
    <sheet name="TA269" sheetId="12" r:id="rId8"/>
    <sheet name="TA285" sheetId="9" r:id="rId9"/>
    <sheet name="TA347" sheetId="18" r:id="rId10"/>
    <sheet name="TA319" sheetId="14" r:id="rId11"/>
    <sheet name="TA357" sheetId="19" r:id="rId12"/>
    <sheet name="TA366" sheetId="16" r:id="rId13"/>
    <sheet name="TA374" sheetId="25" r:id="rId14"/>
    <sheet name="TA384" sheetId="15" r:id="rId15"/>
    <sheet name="TA396" sheetId="11" r:id="rId16"/>
    <sheet name="TA400" sheetId="20" r:id="rId17"/>
    <sheet name="TA414" sheetId="24" r:id="rId18"/>
    <sheet name="TA417" sheetId="21" r:id="rId19"/>
    <sheet name="TA428" sheetId="17" r:id="rId20"/>
    <sheet name="TA476" sheetId="10" r:id="rId21"/>
    <sheet name="TA447" sheetId="23" r:id="rId22"/>
    <sheet name="TA650" sheetId="22" r:id="rId23"/>
    <sheet name="Comparison Gorrod" sheetId="26" r:id="rId24"/>
    <sheet name="Final_TAs" sheetId="2" state="hidden" r:id="rId25"/>
  </sheets>
  <definedNames>
    <definedName name="_xlnm._FilterDatabase" localSheetId="1" hidden="1">TA_Final!$A$1:$E$22</definedName>
    <definedName name="_xlnm._FilterDatabase" localSheetId="0" hidden="1">'TA_Final (2)'!$A$1:$E$10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36" i="26" l="1"/>
  <c r="B43" i="26"/>
  <c r="B41" i="22"/>
  <c r="B40" i="22"/>
  <c r="B39" i="22"/>
  <c r="F54" i="23"/>
  <c r="F53" i="23"/>
  <c r="F52" i="23"/>
  <c r="B53" i="23"/>
  <c r="E5" i="18"/>
  <c r="D5" i="18"/>
  <c r="Y23" i="13"/>
  <c r="Y22" i="13"/>
  <c r="C53" i="23"/>
  <c r="B52" i="23"/>
  <c r="I11" i="7"/>
  <c r="I10" i="7"/>
  <c r="G11" i="7"/>
  <c r="G10" i="7"/>
  <c r="G8" i="7"/>
  <c r="G9" i="7"/>
  <c r="I8" i="7"/>
  <c r="B45" i="18"/>
  <c r="B44" i="18"/>
  <c r="K13" i="7"/>
  <c r="I12" i="7"/>
  <c r="G7" i="7"/>
  <c r="K1" i="7"/>
  <c r="F1" i="7"/>
  <c r="E1" i="7"/>
  <c r="D1" i="7"/>
  <c r="C1" i="7"/>
  <c r="B1" i="7"/>
  <c r="A1" i="7"/>
  <c r="I11" i="6"/>
  <c r="I10" i="6"/>
  <c r="J11" i="6"/>
  <c r="J10" i="6"/>
  <c r="H11" i="6"/>
  <c r="G11" i="6"/>
  <c r="G10" i="6"/>
  <c r="I13" i="6"/>
  <c r="I12" i="6"/>
  <c r="J9" i="6"/>
  <c r="J8" i="6"/>
  <c r="I8" i="6"/>
  <c r="H9" i="6"/>
  <c r="H8" i="6"/>
  <c r="G9" i="6"/>
  <c r="G8" i="6"/>
  <c r="H7" i="6"/>
  <c r="K14" i="6"/>
  <c r="G7" i="6"/>
  <c r="K1" i="6"/>
  <c r="B1" i="6"/>
  <c r="C1" i="6"/>
  <c r="D1" i="6"/>
  <c r="E1" i="6"/>
  <c r="F1" i="6"/>
  <c r="A1"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tc={B8EDECCE-33EE-4162-9C85-E0375388496E}</author>
  </authors>
  <commentList>
    <comment ref="A15" authorId="0" shapeId="0" xr:uid="{B8EDECCE-33EE-4162-9C85-E0375388496E}">
      <text>
        <t>[Threaded comment]
Your version of Excel allows you to read this threaded comment; however, any edits to it will get removed if the file is opened in a newer version of Excel. Learn more: https://go.microsoft.com/fwlink/?linkid=870924
Comment:
    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tc={0E1A3B40-544B-47CD-8DA6-9C8FE31CE2A4}</author>
  </authors>
  <commentList>
    <comment ref="E6" authorId="0" shapeId="0" xr:uid="{0E1A3B40-544B-47CD-8DA6-9C8FE31CE2A4}">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tc={9AE5F425-BD13-4020-BBD7-F324D83EE4C9}</author>
    <author>tc={BCFFD236-6C56-4F0E-A159-F9BF43E4FC05}</author>
    <author>tc={3B023599-6D32-4C8C-B746-3FEDCB5D7866}</author>
  </authors>
  <commentList>
    <comment ref="G8" authorId="0" shapeId="0" xr:uid="{9AE5F425-BD13-4020-BBD7-F324D83EE4C9}">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 ref="K8" authorId="1" shapeId="0" xr:uid="{BCFFD236-6C56-4F0E-A159-F9BF43E4FC05}">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 ref="G9" authorId="2" shapeId="0" xr:uid="{3B023599-6D32-4C8C-B746-3FEDCB5D7866}">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tc={B8471078-AB66-4E24-94CC-EC811BB968DF}</author>
    <author>tc={FC15CF1A-4BCA-480D-A6E7-50DDB8320A0A}</author>
    <author>tc={7332DEE2-F0C7-4639-9749-52D041D7E816}</author>
  </authors>
  <commentList>
    <comment ref="G8" authorId="0" shapeId="0" xr:uid="{B8471078-AB66-4E24-94CC-EC811BB968DF}">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 ref="K8" authorId="1" shapeId="0" xr:uid="{FC15CF1A-4BCA-480D-A6E7-50DDB8320A0A}">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 ref="G9" authorId="2" shapeId="0" xr:uid="{7332DEE2-F0C7-4639-9749-52D041D7E816}">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List>
</comments>
</file>

<file path=xl/sharedStrings.xml><?xml version="1.0" encoding="utf-8"?>
<sst xmlns="http://schemas.openxmlformats.org/spreadsheetml/2006/main" count="680" uniqueCount="226">
  <si>
    <t>Reference</t>
  </si>
  <si>
    <t>https://www.nice.org.uk/guidance/ta259/documents/prostate-cancer-metastatic-castration-resistant-abiraterone-following-cytoxic-therapy-manufacturers-submission2</t>
  </si>
  <si>
    <t>Section</t>
  </si>
  <si>
    <t>6.3.7</t>
  </si>
  <si>
    <t>15.National Institute for Health and Care Excellence. Abiraterone for castration-resistant metastatic prostate cancer previously treated with a docetaxel-containing regimen. Technology appraisal guidance [TA259]. Available from: https://www.nice.org.uk/guidance/ta259. Accessed July 2017.</t>
  </si>
  <si>
    <t>https://www.nice.org.uk/guidance/ta285/documents/ovarian-fallopian-tube-and-primary-peritoneal-cancer-recurrent-advanced-platinumsensitive-partially-platinumsensitive-bevacizumab-evidence-review-group-report2</t>
  </si>
  <si>
    <t>Assuemed KM+Log logistic for OS</t>
  </si>
  <si>
    <t>20. 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</si>
  <si>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https://www.nice.org.uk/guidance/ta259/documents/prostate-cancer-metastatic-castration-resistant-abiraterone-following-cytoxic-therapy-evidence-review-group-report2</t>
  </si>
  <si>
    <t>Section 1.5 (ERG)</t>
  </si>
  <si>
    <t>https://www.nice.org.uk/guidance/ta476/documents/1</t>
  </si>
  <si>
    <t>https://www.nice.org.uk/guidance/ta476/documents/committee-papers</t>
  </si>
  <si>
    <t xml:space="preserve"> National Institute for Health and Care Excellence. Pacli_x0002_taxel as albumin-bound nanoparticles in combination with
gemcitabine for previously untreated metastatic pancreatic
cancer. Technology appraisal guidance [TA360]. Available
from: https://www.nice.org.uk/guidance/ta360. Accessed
July 2017.</t>
  </si>
  <si>
    <t>ERG assumed KM + Extrapolation but not clear if it is Parmateric or exponential</t>
  </si>
  <si>
    <t>5.3.1. Incorporation of the clinical data in the model</t>
  </si>
  <si>
    <t>committee-papers (nice.org.uk)</t>
  </si>
  <si>
    <t>Dabrafenib for treating unresectable or metastatic BRAF V600 mutation-positive melanoma.</t>
  </si>
  <si>
    <t>Refrence from TA396</t>
  </si>
  <si>
    <t>National Institute for Health and Care Excellence. Vemurafenib for treating locally advanced or metastatic BRAF V600 mutation-positive malignant melanoma. NICE technology appraisal guidance 269.</t>
  </si>
  <si>
    <t>https://www.nice.org.uk/guidance/ta428/documents/committee-papers</t>
  </si>
  <si>
    <t>https://www.nice.org.uk/guidance/ta428/documents/committee-papers-3</t>
  </si>
  <si>
    <t>5.3.2 Modelling overall survival for the first 2 years</t>
  </si>
  <si>
    <t>68. National Institute for Health and Care Excellence. Pembrolizumab for treating PD-L1-positive non-small-cell lung cancer after chemotherapy. Technology appraisal guidance [TA428]. Available from: https://www.nice.org.uk/gui_x0002_dance/ta428. Accessed July 2017.</t>
  </si>
  <si>
    <t>Have data for KEYNOTE-10 studies both 2 and 5 year</t>
  </si>
  <si>
    <t>Lead team presentation (nice.org.uk)</t>
  </si>
  <si>
    <t>Googled: Piecewise exponential NICE HTA</t>
  </si>
  <si>
    <t>ta650</t>
  </si>
  <si>
    <t>Chair’s presentation (nice.org.uk)</t>
  </si>
  <si>
    <t>Do not adjust Docetaxel due to treatment switching</t>
  </si>
  <si>
    <t>Incosistent: FAD implies different cut offs to the STA; use STA</t>
  </si>
  <si>
    <t xml:space="preserve"> https://www.nice.org.uk/guidance/ta269/resources/melanoma-braf-v600-mutation-positive-unresectable-metastatic-vemurafenib-final-appraisal-determination-document2; https://www.nice.org.uk/guidance/ta269/documents/melanoma-braf-v600-mutation-positive-unresectable-metastatic-vemurafenib-roche-products4</t>
  </si>
  <si>
    <t>National Institute for Health and Care Excellence. Trametinib in combination with dabrafenib for treating unresect_x0002_able or metastatic melanoma. Technology appraisal guidance [TA396]. Available from: https://www.nice.org
.uk/guidance/ta396. Accessed July 2017.</t>
  </si>
  <si>
    <t>Reference from TA396 - However, no piecewise model assumed.</t>
  </si>
  <si>
    <t>https://www.nice.org.uk/guidance/ta268/documents/melanoma-stage-iii-or-iv-ipilimumab-evidence-review-group-report3</t>
  </si>
  <si>
    <t>Figure 10 Long-term OS projection trends used in ERG exploratory analysis</t>
  </si>
  <si>
    <t>Figure 14 Overall survival – modelled data vs Kaplan Meier data, single curve fit</t>
  </si>
  <si>
    <t>https://www.nice.org.uk/guidance/ta268/documents/melanoma-stage-iii-or-iv-ipilimumab-manufacturers-submission-bristol-myerssquibb2</t>
  </si>
  <si>
    <t>https://www.nice.org.uk/guidance/ta319/documents/evaluation-report2</t>
  </si>
  <si>
    <t xml:space="preserve">See Evaluation Report - ERG </t>
  </si>
  <si>
    <t>Manufacturer used KM + Weibull data</t>
  </si>
  <si>
    <t>30. National Institute for Health and Care Excellence. Ipilimumab for previously untreated advanced (unresectable or
metastatic) melanoma. Technology appraisal guidance
[TA319]. Available from: https://www.nice.org.uk/gui
dance/ta319. Accessed July 2017.</t>
  </si>
  <si>
    <t>17. National Institute for Health and Care Excellence. Ipilimumab for previously treated advanced (unresectable or metastatic) melanoma. Technology appraisal guidance [TA268].
Available from: https://www.nice.org.uk/guidance/ta268.
Accessed July 2017.</t>
  </si>
  <si>
    <t>37. National Institute for Health and Care Excellence. Nintedanib for previously treated locally advanced, metastatic,
or locally recurrent non-small-cell lung cancer. Technology
appraisal guidance [TA347]. Available from: https://
www.nice.org.uk/guidance/ta347. accessed July 2017</t>
  </si>
  <si>
    <t>Evidence Review Group assumed exponential was better than Gompertz for PFS pg 75</t>
  </si>
  <si>
    <t>38. National Institute for Health and Care Excellence. Pembrolizumab for treating advanced melanoma after disease progression with ipilimumab. Technology appraisal guidance [TA357]. Available from: https://www.nice.org.uk/ guidance/ta357. Accessed July 2017</t>
  </si>
  <si>
    <t xml:space="preserve">Overall survival was estimated by initially using Kaplan–Meier data from clinical trials (for the first 50–60 weeks of the model), followed by published mortality risks based on data from a pooled analysis of longterm survival data for people with melanoma treated with ipilimumab (Schadendorf et al. [2015]; applied to pembrolizumab and ipilimumab). Therefore not applicable </t>
  </si>
  <si>
    <t>https://www.nice.org.uk/guidance/ta366/documents/appraisal-consultation-document</t>
  </si>
  <si>
    <t>Time to progression was modelled using Kaplan–Meier data from
CheckMate-066 (for nivolumab and dacarbazine) and from MDX010-20
(for ipilimumab) for the first 100 days, followed by fitted parametric curves
using the Gompertz distribution in the base case.</t>
  </si>
  <si>
    <t>https://www.nice.org.uk/guidance/ta384/documents/final-appraisal-determination-document</t>
  </si>
  <si>
    <t>41. National Institute for Health and Care Excellence. Pembrolizumab for advanced melanoma not previously treated
with ipilimumab. Technology appraisal guidance [TA366].
Available from: https://www.nice.org.uk/guidance/ta366.
Accessed July 2017.</t>
  </si>
  <si>
    <t>Long-term overall survival was modelled
using the following data:
 American Joint Committee on Cancer -registry on long term
survival ; applied from year 2 onwards for BRAF inhibitors and
DTIC</t>
  </si>
  <si>
    <t>https://www.nice.org.uk/guidance/ta384/documents/committee-papers</t>
  </si>
  <si>
    <t>49. National Institute for Health and Care Excellence. Nivolumab for treating advanced (unresectable or metastatic) melanoma. Technology appraisal guidance [TA384]. Available
from: https://www.nice.org.uk/guidance/ta384. accessed
July 2017.</t>
  </si>
  <si>
    <t>Time to progression As discussed in Section 4.13, time to progression is modelled using KM data for the first 84 days, and fitted parametric curves post 84 days. Among the six parametric curves fitted, the log-normal curve is chosen for the base case based on the NICE DSU guidance173 (see Section 4.13 for detailed results of the parametric curves fitted and the choice of the base case curve). Other types of curves were tested as scenario analyses. Figure 45 shows the final modelled time to progression for BRAF mutation-negative patients combining the KM data for the first 84 days and parametric curves post 84 days. P</t>
  </si>
  <si>
    <t>https://www.nice.org.uk/guidance/ta400/documents/committee-papers-2</t>
  </si>
  <si>
    <t>56.National Institute for Health and Care Excellence. Nivolumab in combination with ipilimumab for treating advanced
melanoma. Technology appraisal guidance [TA400]. Available from: https://www.nice.org.uk/guidance/ta400. Accessed
July 2017.</t>
  </si>
  <si>
    <t>https://www.nice.org.uk/guidance/ta417/documents/committee-papers-4</t>
  </si>
  <si>
    <t>Unclear where piecewise modelling was employed</t>
  </si>
  <si>
    <t>National Institute for Health and Care Excellence. Nivolumab for previously treated advanced renal cell carcinoma.
Technology appraisal guidance [TA417]. Available from:</t>
  </si>
  <si>
    <t>Include/Exclude</t>
  </si>
  <si>
    <t>Exclude</t>
  </si>
  <si>
    <t>ERG assumed KM + Extrapolation but not clear if exponential or other parametric model used</t>
  </si>
  <si>
    <t>Include</t>
  </si>
  <si>
    <t>Notes</t>
  </si>
  <si>
    <t>Assumed KM+Log logistic for OS</t>
  </si>
  <si>
    <t>Reference from TA396</t>
  </si>
  <si>
    <t>Do not adjust Docetaxel due to treatment switching;
Have data for KEYNOTE-10 studies both 2 and 5 year</t>
  </si>
  <si>
    <t xml:space="preserve">Manufacturer used KM + Weibull data See Evaluation Report - ERG </t>
  </si>
  <si>
    <t>Include (Not Extracted Yet)</t>
  </si>
  <si>
    <t>Pembrolizumab with axitinib for untreated metastatic renal cell carcinoma TA650</t>
  </si>
  <si>
    <t>BIBTeX</t>
  </si>
  <si>
    <t>@misc{national institute for health and care excellence._2016, title={Trametinib in combination with dabrafenib for treating unresectable or metastatic melanoma: Technology Appraisal Guidance}, url={https://www.nice.org.uk/Guidance/TA396}, journal={National Institute for Health and Care Excellence.}, year={2016}, month={Jun}}</t>
  </si>
  <si>
    <t xml:space="preserve"> @misc{nice_2012, title={Vemurafenib for treating locally advanced or metastatic BRAF&amp;nbsp;V600 mutation‑positive malignant melanoma: Technology Appraisal Guidance}, url={https://www.nice.org.uk/guidance/ta269}, journal={NICE}, year={2012}, month={Dec}} </t>
  </si>
  <si>
    <t>68. National Institute for Health and Care Excellence. Pembrolizumab for treating PD-L1-positive non-small-cell lung cancer after chemotherapy. Technology appraisal guidance [TA428]. Available from: https://www.nice.org.uk/guidance/ta428. Accessed July 2017.</t>
  </si>
  <si>
    <t xml:space="preserve"> @misc{nice_2017, title={Pembrolizumab for treating PD-L1-positive non-small-cell lung cancer after chemotherapy: Technology Appraisal Guidance}, url={https://www.nice.org.uk/guidance/ta428}, journal={NICE}, year={2017}, month={Jan}} </t>
  </si>
  <si>
    <t>@misc{nice_2012, title={Ipilimumab for previously treated advanced (unresectable or metastatic) melanoma: Technology Appraisal Guidance}, url={https://www.nice.org.uk/guidance/ta268}, journal={NICE}, year={2012}, month={Dec}}</t>
  </si>
  <si>
    <t xml:space="preserve"> @misc{nice_2015, title={Nintedanib for previously treated locally advanced, metastatic, or locally recurrent non‑small‑cell lung cancer: Technology Appraisal Guidance}, url={https://www.nice.org.uk/guidance/ta347}, journal={NICE}, year={2015}, month={Jul}} </t>
  </si>
  <si>
    <t>@misc{nice_2020, title={Pembrolizumab with axitinib for untreated advanced renal cell carcinoma: Technology Appraisal Guidance}, url={https://www.nice.org.uk/guidance/ta650}, journal={NICE}, year={2020}, month={Sep}}</t>
  </si>
  <si>
    <t>Technology Apprasial</t>
  </si>
  <si>
    <t>TA396</t>
  </si>
  <si>
    <t>TA269</t>
  </si>
  <si>
    <t>TA428</t>
  </si>
  <si>
    <t>TA268</t>
  </si>
  <si>
    <t>TA347</t>
  </si>
  <si>
    <t>TA650</t>
  </si>
  <si>
    <t>Applicant assumed: Use of Kaplan-Meier data for each treatment arm until a pre-determined break point beyond which a long-term linear trend was evident
Used a sizer package to identify the breakpoint
PFS for the intervention (T+D) and comparator (BRAF Inibitor) was 11.8 and 12.5 months respectively
For OS it was 18.6 (4.2-21.0), 3.2 (2.8-23.3)</t>
  </si>
  <si>
    <t>Incosistent: FAD implies different cut offs to the STA; use STA:
https://www.nice.org.uk/guidance/ta269/documents/melanoma-braf-v600-mutation-positive-unresectable-metastatic-vemurafenib-roche-products4</t>
  </si>
  <si>
    <t>BRIM3 Study; PFS from four months was assumed to be stable and hazards from that used in extrapolation. Transition point of 9 months used to switch the hazard Vemurafenib with 7 months chosen for Dacarbazine; For OS survival they discuss that Dacarbazine has a constant hazard throughout while Verumrafeinb is approximately constant thereafter, however argue that it is not appropriate to assume constant long term hazards (pg.163); Update at 2012 and then at 2017</t>
  </si>
  <si>
    <t>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
  </si>
  <si>
    <t>PEM model results</t>
  </si>
  <si>
    <t>Outcomes</t>
  </si>
  <si>
    <t>Approach to identify constant hazard segment</t>
  </si>
  <si>
    <t>PFS and OS both arms</t>
  </si>
  <si>
    <t>PFS T+D = 11.8 and BRAF Inhibitor = 12.5 months
For OS it was 18.6 (4.2-21.0), 3.2 (2.8-23.3)</t>
  </si>
  <si>
    <t>Visual inspection</t>
  </si>
  <si>
    <t>PFS both arms</t>
  </si>
  <si>
    <t>Sizer Package in R fit to cumulative hazard plot</t>
  </si>
  <si>
    <t>PFS both arms = 4 months</t>
  </si>
  <si>
    <t>V = 2.6 months; D = 3.7 months;</t>
  </si>
  <si>
    <t>Basecase was KEYNOTE-01 data but we will not consider it as it is an external dataset</t>
  </si>
  <si>
    <t>OS both arms</t>
  </si>
  <si>
    <t>Visual Inspection</t>
  </si>
  <si>
    <t>Basecase 12 months, also considered 15.5 months and 18 months</t>
  </si>
  <si>
    <t>12.2 months;</t>
  </si>
  <si>
    <t>Primary basecase was KEYNOTE-01 data but we will not consider it as it is an external dataset. Treatment switching occurred in docetaxel arm so this will not be considered.</t>
  </si>
  <si>
    <t>This analysis was considered by the Evidence Review Group (ERG) rather than the company's original submission.</t>
  </si>
  <si>
    <t>OS GP100 340 days; OS All IPI 770 days
PFS GP100 190 days; PFS All IPI 365 days</t>
  </si>
  <si>
    <t>OS; GP100 1.15 years; Ipi 2.1 years</t>
  </si>
  <si>
    <t>PFS; GP100 0.57 years; Ipi :1.28 years.</t>
  </si>
  <si>
    <t>Follow up results</t>
  </si>
  <si>
    <t>PFS T+D = 14.71; BRAF inhibitor = 19.13 months;
OS T+D = 18.3</t>
  </si>
  <si>
    <t>OS N+D ~175 day; D ~ 300 days; PFS Common hazard used after 375 days</t>
  </si>
  <si>
    <t xml:space="preserve">OS N+D = No Changepoint most probable (although 1 changepoint model at 6.3 months); OS D = 2.5 months
PFS N+D  = 199 days; D = 137 days. </t>
  </si>
  <si>
    <t>PFS both hazards are similar after changepoint, however the break-point appears to be earlier.</t>
  </si>
  <si>
    <t>Assumed Visual Inspection</t>
  </si>
  <si>
    <t>Y</t>
  </si>
  <si>
    <t>N</t>
  </si>
  <si>
    <t>Timepoints for start of constant hazard segment</t>
  </si>
  <si>
    <t>Y (Only OS presented)</t>
  </si>
  <si>
    <t xml:space="preserve">BRAF inhibitor arm for OS not included as the analysis was adjusted for treatment switching which we could not replicate.
Confidence intervals are very wide for the sizer PFS, however, hazards are broadly similar. </t>
  </si>
  <si>
    <t xml:space="preserve">Pembro and A 3 months; Sutinib = 14 months </t>
  </si>
  <si>
    <t>For Sutinib although the final change-point is at 14 months, however, 2nd chagnepoint is at 3.1 months; unsure if due to digitzation; Risk set  is very sparse and patient number drops from 29 to 1. Depending on the number at risk the large drop towards the end of sutinib could be due to a small sample size or a large number of failures; hard to know without data.</t>
  </si>
  <si>
    <t>Treatments</t>
  </si>
  <si>
    <t>Dabrafenib plus trametinib</t>
  </si>
  <si>
    <t>Dabrafenib plus trametinib (D+T)</t>
  </si>
  <si>
    <t>Treatment Arm</t>
  </si>
  <si>
    <t xml:space="preserve">Dabrafenib or Vemurafenib monotherapy (BRAF Inhibitor) </t>
  </si>
  <si>
    <t>OS</t>
  </si>
  <si>
    <t>Timepoint for start of constant hazard segment - Company Submission</t>
  </si>
  <si>
    <t>Mean value of change-point for final segment - PEM</t>
  </si>
  <si>
    <t>PFS</t>
  </si>
  <si>
    <t>NA</t>
  </si>
  <si>
    <t>Vemurafenib</t>
  </si>
  <si>
    <t xml:space="preserve">Dacarbazine </t>
  </si>
  <si>
    <t>Pembrolizumab</t>
  </si>
  <si>
    <t>Glycoprotein 100 (GP100)</t>
  </si>
  <si>
    <t xml:space="preserve"> Ipilimumab (IPI)</t>
  </si>
  <si>
    <t>Nitedanib + Docetaxel (N+D)</t>
  </si>
  <si>
    <t>Docetaxel (D)</t>
  </si>
  <si>
    <t>Details not available</t>
  </si>
  <si>
    <t>Pembrolizumab with axitinib (P+A)</t>
  </si>
  <si>
    <t>Sunitinib (S)</t>
  </si>
  <si>
    <t>Glycoprotein 100</t>
  </si>
  <si>
    <t xml:space="preserve"> Ipilimumab</t>
  </si>
  <si>
    <t>Docetaxel</t>
  </si>
  <si>
    <t>Pembrolizumab + Axitinib</t>
  </si>
  <si>
    <t>Sunitinib tnote{3}</t>
  </si>
  <si>
    <t>PFS and OS both arms tnote{1}</t>
  </si>
  <si>
    <t>OS both arms  tnote{1}</t>
  </si>
  <si>
    <t>Dabrafenib or Vemurafenib</t>
  </si>
  <si>
    <t>R package ``SiZer'' used</t>
  </si>
  <si>
    <t xml:space="preserve">"@misc{TA269, title={Vemurafenib for treating locally advanced or metastatic BRAF&amp;nbsp;V600 mutation‑positive malignant melanoma: Technology Appraisal Guidance}, url={https://www.nice.org.uk/guidance/ta269}, journal={NICE}, year={2012}, month={Dec}} </t>
  </si>
  <si>
    <t>"@misc{TA396, title={Trametinib in combination with dabrafenib for treating unresectable or metastatic melanoma: Technology Appraisal Guidance}, url={https://www.nice.org.uk/Guidance/TA396}, journal={National Institute for Health and Care Excellence.}, year={2016}, month={Jun}}</t>
  </si>
  <si>
    <t xml:space="preserve">"@misc{TA428, title={Pembrolizumab for treating PD-L1-positive non-small-cell lung cancer after chemotherapy: Technology Appraisal Guidance}, url={https://www.nice.org.uk/guidance/ta428}, journal={NICE}, year={2017}, month={Jan}} </t>
  </si>
  <si>
    <t>"@misc{TA268, title={Ipilimumab for previously treated advanced (unresectable or metastatic) melanoma: Technology Appraisal Guidance}, url={https://www.nice.org.uk/guidance/ta268}, journal={NICE}, year={2012}, month={Dec}}</t>
  </si>
  <si>
    <t xml:space="preserve"> "@misc{TA347, title={Nintedanib for previously treated locally advanced, metastatic, or locally recurrent non‑small‑cell lung cancer: Technology Appraisal Guidance}, url={https://www.nice.org.uk/guidance/ta347}, journal={NICE}, year={2015}, month={Jul}} </t>
  </si>
  <si>
    <t>"@misc{TA650, title={Pembrolizumab with axitinib for untreated advanced renal cell carcinoma: Technology Appraisal Guidance}, url={https://www.nice.org.uk/guidance/ta650}, journal={NICE}, year={2020}, month={Sep}}</t>
  </si>
  <si>
    <t>Nintedanib + Docetaxel tnote{2}</t>
  </si>
  <si>
    <t>Nintedanib + Docetaxel (N+D)</t>
  </si>
  <si>
    <t>Hyperlink</t>
  </si>
  <si>
    <t>Section (Reference within Text)</t>
  </si>
  <si>
    <t>ERG assumed KM + Extrapolation but not clear if exponential or other parametric model used (Was used in TA360, however, cannot access that anymore).</t>
  </si>
  <si>
    <t>https://www.nice.org.uk/guidance/ta269/documents/melanoma-braf-v600-mutation-positive-unresectable-metastatic-vemurafenib-roche-products4</t>
  </si>
  <si>
    <t>Source</t>
  </si>
  <si>
    <t>Transition point is 9 months, however, the hazard is generated from 4 months onwards; Differently described in FAD.</t>
  </si>
  <si>
    <t>KM Source</t>
  </si>
  <si>
    <t>Improved Survival with Vemurafenib in Melanoma with BRAF V600E Mutation (nejm.org)</t>
  </si>
  <si>
    <t>Changepoints: from this graphs</t>
  </si>
  <si>
    <t>Number at risk from publication</t>
  </si>
  <si>
    <t>https://www.ncbi.nlm.nih.gov/pmc/articles/PMC3549297/pdf/nihms-431916.pdf</t>
  </si>
  <si>
    <t>https://www.nice.org.uk/guidance/ta366/documents/final-appraisal-determination-document</t>
  </si>
  <si>
    <t>https://www.nice.org.uk/guidance/ta347</t>
  </si>
  <si>
    <t>ERG fit KM + Exponential for both PFS and OS; PFS. The population is all adenocarcinoma patients see table 7 of ERG report (as this is the relevant HR from the LUME-LUNG 1 popution). We take the PFS from the ERG report as it is not clear which PFS was used (BIRC or investigator assessed), however, we use the number at risk from the company submission Figure 9: Probability rate of PFS in the adenocarcinoma population in LUME-Lung 1 (follow-up analysis)(5).</t>
  </si>
  <si>
    <t>Does not seem that piecewise modelling was employed.</t>
  </si>
  <si>
    <t>committee-papers-pdf-4909657501 (nice.org.uk)</t>
  </si>
  <si>
    <t>Updated TA531</t>
  </si>
  <si>
    <t>TA477</t>
  </si>
  <si>
    <t>https://www.nice.org.uk/guidance/ta531/documents/committee-papers-3</t>
  </si>
  <si>
    <t>TA447</t>
  </si>
  <si>
    <t>OS both arms tnote{1}</t>
  </si>
  <si>
    <t xml:space="preserve"> Mixed data sources rather than assuming different hazards</t>
  </si>
  <si>
    <t>https://www.nice.org.uk/guidance/ta366/documents/committee-papers</t>
  </si>
  <si>
    <t>Only seems to be done for treatment duration</t>
  </si>
  <si>
    <t>1 (nice.org.uk)</t>
  </si>
  <si>
    <t>Committee papers do not give sufficient detail</t>
  </si>
  <si>
    <t>Royston-Parmar</t>
  </si>
  <si>
    <t>Generalized Gamma</t>
  </si>
  <si>
    <t>Log-Logistic</t>
  </si>
  <si>
    <t>Log-Normal</t>
  </si>
  <si>
    <t>Gompertz</t>
  </si>
  <si>
    <t>Gamma</t>
  </si>
  <si>
    <t>Weibull</t>
  </si>
  <si>
    <t>Exponential</t>
  </si>
  <si>
    <t>Within scope of review "the scope was restricted to completed NICE STAs for cancer treatments that commenced between July 1, 2011, and June 30, 2017"</t>
  </si>
  <si>
    <t>Not referecned in Gorrod</t>
  </si>
  <si>
    <t>Not identified as Piecewise by Gorrod</t>
  </si>
  <si>
    <t>Yes</t>
  </si>
  <si>
    <t>National Institute for Health and Care Excellence. Pem_x0002_brolizumab for treating PD-L1-positive non-small-cell lung
cancer after chemotherapy. Technology appraisal guidance
[TA428]. Available from: https://www.nice.org.uk/gui_x0002_dance/ta428. Accessed July 2017.</t>
  </si>
  <si>
    <t>TA417</t>
  </si>
  <si>
    <t>National Institute for Health and Care Excellence. Nivolumab for previously treated advanced renal cell carcinoma.
Technology appraisal guidance [TA417]. Available from:
https://www.nice.org.uk/guidance/ta417. Accessed July 2017.</t>
  </si>
  <si>
    <t>Only TTD</t>
  </si>
  <si>
    <t>TA414</t>
  </si>
  <si>
    <t>National Institute for Health and Care Excellence. Cobimetinib in combination with vemurafenib for treating
unresectable or metastatic BRAF V600 mutation-positive
melanoma. Technology appraisal guidance [TA414]. Available from: https://www.nice.org.uk/guidance/ta414. Accessed
July 2017.</t>
  </si>
  <si>
    <t>TA400</t>
  </si>
  <si>
    <t>National Institute for Health and Care Excellence. Nivolumab in combination with ipilimumab for treating advanced
melanoma. Technology appraisal guidance [TA400]. Available from: https://www.nice.org.uk/guidance/ta400. Accessed
July 2017.</t>
  </si>
  <si>
    <t>National Institute for Health and Care Excellence. Trame_x0002_tinib in combination with dabrafenib for treating unresect_x0002_able or metastatic melanoma. Technology appraisal
guidance [TA396]. Available from: https://www.nice.org
.uk/guidance/ta396. Accessed July 2017.</t>
  </si>
  <si>
    <t>Doesn't appear to give sufficient info</t>
  </si>
  <si>
    <t>TA374</t>
  </si>
  <si>
    <t xml:space="preserve"> National Institute for Health and Care Excellence. Erloti_x0002_nib and gefitinib for treating non-small-cell lung cancer
that has progressed after prior chemotherapy. Technology
appraisal guidance [TA374]. Available from: https://
www.nice.org.uk/guidance/ta374. Accessed July 2017.</t>
  </si>
  <si>
    <t>piecewise refers to data source</t>
  </si>
  <si>
    <t>TA366</t>
  </si>
  <si>
    <t>National Institute for Health and Care Excellence. Pem_x0002_brolizumab for advanced melanoma not previously treated
with ipilimumab. Technology appraisal guidance [TA366].
Available from: https://www.nice.org.uk/guidance/ta366.
Accessed July 2017.</t>
  </si>
  <si>
    <t>Yes - Became TA476 and is not available</t>
  </si>
  <si>
    <t>TA360</t>
  </si>
  <si>
    <t xml:space="preserve"> National Institute for Health and Care Excellence. Pacli_x0002_taxel as albumin-bound nanoparticles in combination with
gemcitabine for previously untreated metastatic pancreatic
cancer. Technology appraisal guidance [TA360]. Available
from: https://www.nice.org.uk/guidance/ta360. Accessed
July 2017</t>
  </si>
  <si>
    <t>TA357</t>
  </si>
  <si>
    <t xml:space="preserve"> National Institute for Health and Care Excellence. Pem_x0002_brolizumab for treating advanced melanoma after disease
progression with ipilimumab. Technology appraisal gui_x0002_dance [TA357]. Available from: https://www.nice.org.uk/
guidance/ta357. Accessed July 2017.</t>
  </si>
  <si>
    <t>TA319</t>
  </si>
  <si>
    <t>National Institute for Health and Care Excellence. Ipilimu_x0002_mab for previously untreated advanced (unresectable or
metastatic) melanoma. Technology appraisal guidance
[TA319]. Available from: https://www.nice.org.uk/gui
dance/ta319. Accessed July 2017.</t>
  </si>
  <si>
    <t>TA285</t>
  </si>
  <si>
    <t>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</si>
  <si>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 xml:space="preserve"> National Institute for Health and Care Excellence. Ipilimu_x0002_mab for previously treated advanced (unresectable or meta_x0002_static) melanoma. Technology appraisal guidance [TA268].
Available from: https://www.nice.org.uk/guidance/ta268.
Accessed July 2017.</t>
  </si>
  <si>
    <t>TA259</t>
  </si>
  <si>
    <t>National Institute for Health and Care Excellence. Abira_x0002_terone for castration-resistant metastatic prostate cancer
previously treated with a docetaxel-containing regimen.
Technology appraisal guidance [TA259]. Available from:
https://www.nice.org.uk/guidance/ta259. Accessed July
2017</t>
  </si>
  <si>
    <t>Checked</t>
  </si>
  <si>
    <t>Gorrod Paper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</si>
</sst>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8" formatCode="&quot;€&quot;#,##0.00;[Red]\-&quot;€&quot;#,##0.00"/>
  </numFmts>
  <fonts count="2" x14ac:knownFonts="1">
    <font>
      <sz val="11"/>
      <color theme="1"/>
      <name val="Calibri"/>
      <family val="2"/>
      <scheme val="minor"/>
    </font>
    <font>
      <u/>
      <sz val="11"/>
      <color theme="10"/>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9" tint="0.39997558519241921"/>
        <bgColor indexed="64"/>
      </patternFill>
    </fill>
  </fills>
  <borders count="29">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style="medium">
        <color indexed="64"/>
      </bottom>
      <diagonal/>
    </border>
  </borders>
  <cellStyleXfs count="2">
    <xf numFmtId="0" fontId="0" fillId="0" borderId="0"/>
    <xf numFmtId="0" fontId="1" fillId="0" borderId="0" applyNumberFormat="0" applyFill="0" applyBorder="0" applyAlignment="0" applyProtection="0"/>
  </cellStyleXfs>
  <cellXfs count="106">
    <xf numFmtId="0" fontId="0" fillId="0" borderId="0" xfId="0"/>
    <xf numFmtId="0" fontId="1" fillId="0" borderId="0" xfId="1"/>
    <xf numFmtId="0" fontId="0" fillId="0" borderId="0" xfId="0" applyAlignment="1">
      <alignment wrapText="1"/>
    </xf>
    <xf numFmtId="0" fontId="0" fillId="0" borderId="2" xfId="0" applyBorder="1"/>
    <xf numFmtId="0" fontId="1" fillId="0" borderId="2" xfId="1" applyBorder="1"/>
    <xf numFmtId="0" fontId="0" fillId="0" borderId="3" xfId="0" applyBorder="1"/>
    <xf numFmtId="0" fontId="0" fillId="0" borderId="5" xfId="0" applyBorder="1"/>
    <xf numFmtId="0" fontId="1" fillId="0" borderId="5" xfId="1" applyBorder="1"/>
    <xf numFmtId="0" fontId="0" fillId="0" borderId="6" xfId="0" applyBorder="1"/>
    <xf numFmtId="0" fontId="0" fillId="0" borderId="7" xfId="0" applyBorder="1" applyAlignment="1">
      <alignment wrapText="1"/>
    </xf>
    <xf numFmtId="0" fontId="0" fillId="0" borderId="8" xfId="0" applyBorder="1"/>
    <xf numFmtId="0" fontId="1" fillId="0" borderId="8" xfId="1" applyBorder="1"/>
    <xf numFmtId="0" fontId="0" fillId="0" borderId="8" xfId="0" applyBorder="1" applyAlignment="1"/>
    <xf numFmtId="0" fontId="0" fillId="0" borderId="9" xfId="0" applyBorder="1"/>
    <xf numFmtId="0" fontId="0" fillId="0" borderId="8" xfId="0" applyBorder="1" applyAlignment="1">
      <alignment wrapText="1"/>
    </xf>
    <xf numFmtId="0" fontId="0" fillId="0" borderId="1" xfId="0" applyBorder="1" applyAlignment="1">
      <alignment wrapText="1"/>
    </xf>
    <xf numFmtId="0" fontId="0" fillId="0" borderId="3" xfId="0" applyBorder="1" applyAlignment="1">
      <alignment wrapText="1"/>
    </xf>
    <xf numFmtId="0" fontId="0" fillId="0" borderId="4" xfId="0" applyBorder="1"/>
    <xf numFmtId="0" fontId="0" fillId="0" borderId="0" xfId="0" applyFill="1" applyBorder="1"/>
    <xf numFmtId="0" fontId="0" fillId="0" borderId="8" xfId="0" applyFill="1" applyBorder="1"/>
    <xf numFmtId="0" fontId="0" fillId="0" borderId="2" xfId="0" applyFill="1" applyBorder="1"/>
    <xf numFmtId="0" fontId="0" fillId="0" borderId="0" xfId="0" applyAlignment="1">
      <alignment horizontal="left" vertical="center" indent="4"/>
    </xf>
    <xf numFmtId="0" fontId="0" fillId="0" borderId="10" xfId="0" applyBorder="1" applyAlignment="1"/>
    <xf numFmtId="0" fontId="0" fillId="0" borderId="0" xfId="0" applyAlignment="1">
      <alignment horizontal="left"/>
    </xf>
    <xf numFmtId="0" fontId="0" fillId="0" borderId="0" xfId="0" applyBorder="1" applyAlignment="1">
      <alignment horizontal="left" wrapText="1"/>
    </xf>
    <xf numFmtId="0" fontId="0" fillId="0" borderId="0" xfId="0" applyBorder="1" applyAlignment="1">
      <alignment horizontal="center"/>
    </xf>
    <xf numFmtId="0" fontId="0" fillId="0" borderId="0" xfId="0" applyAlignment="1">
      <alignment horizontal="left" wrapText="1"/>
    </xf>
    <xf numFmtId="0" fontId="0" fillId="0" borderId="12" xfId="0" applyBorder="1" applyAlignment="1">
      <alignment horizontal="center"/>
    </xf>
    <xf numFmtId="0" fontId="0" fillId="0" borderId="12" xfId="0" applyFill="1" applyBorder="1" applyAlignment="1">
      <alignment horizontal="center"/>
    </xf>
    <xf numFmtId="0" fontId="0" fillId="0" borderId="1" xfId="0" applyBorder="1" applyAlignment="1">
      <alignment horizontal="left" vertical="top" wrapText="1"/>
    </xf>
    <xf numFmtId="0" fontId="0" fillId="0" borderId="13" xfId="0" applyFill="1" applyBorder="1" applyAlignment="1">
      <alignment horizontal="center"/>
    </xf>
    <xf numFmtId="0" fontId="0" fillId="0" borderId="13" xfId="0" applyBorder="1" applyAlignment="1">
      <alignment horizontal="center"/>
    </xf>
    <xf numFmtId="0" fontId="0" fillId="0" borderId="0" xfId="0" applyBorder="1" applyAlignment="1">
      <alignment horizontal="center" wrapText="1"/>
    </xf>
    <xf numFmtId="0" fontId="0" fillId="0" borderId="0" xfId="0" applyAlignment="1">
      <alignment vertical="top"/>
    </xf>
    <xf numFmtId="0" fontId="0" fillId="0" borderId="0" xfId="0" applyBorder="1" applyAlignment="1">
      <alignment horizontal="left" vertical="top" wrapText="1"/>
    </xf>
    <xf numFmtId="0" fontId="0" fillId="0" borderId="0" xfId="0" applyBorder="1" applyAlignment="1">
      <alignment horizontal="left"/>
    </xf>
    <xf numFmtId="0" fontId="0" fillId="0" borderId="0" xfId="0" applyFill="1" applyBorder="1" applyAlignment="1">
      <alignment horizontal="left" wrapText="1"/>
    </xf>
    <xf numFmtId="0" fontId="1" fillId="0" borderId="0" xfId="1" applyAlignment="1">
      <alignment horizontal="left"/>
    </xf>
    <xf numFmtId="0" fontId="1" fillId="0" borderId="0" xfId="1" applyAlignment="1">
      <alignment horizontal="left" wrapText="1"/>
    </xf>
    <xf numFmtId="0" fontId="1" fillId="0" borderId="0" xfId="1" applyBorder="1" applyAlignment="1">
      <alignment horizontal="left" wrapText="1"/>
    </xf>
    <xf numFmtId="0" fontId="0" fillId="0" borderId="15" xfId="0" applyBorder="1"/>
    <xf numFmtId="0" fontId="0" fillId="0" borderId="16" xfId="0" applyBorder="1"/>
    <xf numFmtId="0" fontId="0" fillId="0" borderId="16" xfId="0" applyBorder="1" applyAlignment="1">
      <alignment wrapText="1"/>
    </xf>
    <xf numFmtId="0" fontId="0" fillId="0" borderId="17" xfId="0" applyBorder="1" applyAlignment="1">
      <alignment wrapText="1"/>
    </xf>
    <xf numFmtId="0" fontId="0" fillId="0" borderId="0" xfId="0" applyBorder="1" applyAlignment="1">
      <alignment wrapText="1"/>
    </xf>
    <xf numFmtId="0" fontId="0" fillId="0" borderId="18" xfId="0" applyBorder="1" applyAlignment="1">
      <alignment vertical="top"/>
    </xf>
    <xf numFmtId="0" fontId="0" fillId="0" borderId="19" xfId="0" applyBorder="1" applyAlignment="1">
      <alignment horizontal="left" wrapText="1"/>
    </xf>
    <xf numFmtId="0" fontId="0" fillId="0" borderId="20" xfId="0" applyBorder="1" applyAlignment="1">
      <alignment vertical="top"/>
    </xf>
    <xf numFmtId="0" fontId="0" fillId="0" borderId="21" xfId="0" applyBorder="1" applyAlignment="1">
      <alignment horizontal="left" wrapText="1"/>
    </xf>
    <xf numFmtId="0" fontId="0" fillId="0" borderId="22" xfId="0" applyBorder="1" applyAlignment="1">
      <alignment horizontal="left" wrapText="1"/>
    </xf>
    <xf numFmtId="0" fontId="0" fillId="0" borderId="15" xfId="0" applyBorder="1" applyAlignment="1">
      <alignment vertical="top"/>
    </xf>
    <xf numFmtId="0" fontId="0" fillId="0" borderId="16" xfId="0" applyBorder="1" applyAlignment="1">
      <alignment horizontal="left" wrapText="1"/>
    </xf>
    <xf numFmtId="0" fontId="0" fillId="0" borderId="17" xfId="0" applyBorder="1" applyAlignment="1">
      <alignment horizontal="left" wrapText="1"/>
    </xf>
    <xf numFmtId="0" fontId="0" fillId="0" borderId="23" xfId="0" applyBorder="1"/>
    <xf numFmtId="0" fontId="0" fillId="0" borderId="24" xfId="0" applyBorder="1"/>
    <xf numFmtId="0" fontId="0" fillId="0" borderId="15" xfId="0" applyBorder="1" applyAlignment="1">
      <alignment wrapText="1"/>
    </xf>
    <xf numFmtId="0" fontId="0" fillId="0" borderId="20" xfId="0" applyBorder="1" applyAlignment="1">
      <alignment wrapText="1"/>
    </xf>
    <xf numFmtId="0" fontId="0" fillId="0" borderId="21" xfId="0" applyBorder="1" applyAlignment="1">
      <alignment wrapText="1"/>
    </xf>
    <xf numFmtId="0" fontId="0" fillId="0" borderId="22" xfId="0" applyBorder="1" applyAlignment="1">
      <alignment wrapText="1"/>
    </xf>
    <xf numFmtId="0" fontId="0" fillId="0" borderId="2" xfId="0" applyBorder="1" applyAlignment="1">
      <alignment wrapText="1"/>
    </xf>
    <xf numFmtId="0" fontId="0" fillId="0" borderId="16" xfId="0" applyBorder="1" applyAlignment="1">
      <alignment horizontal="left"/>
    </xf>
    <xf numFmtId="0" fontId="0" fillId="0" borderId="17" xfId="0" applyBorder="1" applyAlignment="1">
      <alignment horizontal="left"/>
    </xf>
    <xf numFmtId="0" fontId="0" fillId="0" borderId="21" xfId="0" applyBorder="1" applyAlignment="1">
      <alignment horizontal="left"/>
    </xf>
    <xf numFmtId="0" fontId="0" fillId="0" borderId="22" xfId="0" applyBorder="1" applyAlignment="1">
      <alignment horizontal="left"/>
    </xf>
    <xf numFmtId="0" fontId="0" fillId="0" borderId="26" xfId="0" applyBorder="1" applyAlignment="1">
      <alignment vertical="top" wrapText="1"/>
    </xf>
    <xf numFmtId="0" fontId="0" fillId="0" borderId="24" xfId="0" applyBorder="1" applyAlignment="1">
      <alignment horizontal="left" wrapText="1"/>
    </xf>
    <xf numFmtId="0" fontId="0" fillId="0" borderId="25" xfId="0" applyBorder="1" applyAlignment="1">
      <alignment horizontal="left" wrapText="1"/>
    </xf>
    <xf numFmtId="0" fontId="0" fillId="0" borderId="27" xfId="0" applyBorder="1" applyAlignment="1">
      <alignment vertical="top"/>
    </xf>
    <xf numFmtId="0" fontId="0" fillId="0" borderId="16" xfId="0" applyBorder="1" applyAlignment="1">
      <alignment horizontal="center"/>
    </xf>
    <xf numFmtId="0" fontId="0" fillId="0" borderId="16" xfId="0" applyBorder="1" applyAlignment="1">
      <alignment horizontal="center" wrapText="1"/>
    </xf>
    <xf numFmtId="1" fontId="0" fillId="0" borderId="16" xfId="0" applyNumberFormat="1" applyBorder="1" applyAlignment="1">
      <alignment horizontal="left"/>
    </xf>
    <xf numFmtId="1" fontId="0" fillId="0" borderId="17" xfId="0" applyNumberFormat="1" applyBorder="1" applyAlignment="1">
      <alignment horizontal="left"/>
    </xf>
    <xf numFmtId="0" fontId="0" fillId="0" borderId="28" xfId="0" applyBorder="1" applyAlignment="1">
      <alignment vertical="top"/>
    </xf>
    <xf numFmtId="0" fontId="0" fillId="0" borderId="21" xfId="0" applyBorder="1" applyAlignment="1">
      <alignment horizontal="center"/>
    </xf>
    <xf numFmtId="0" fontId="0" fillId="0" borderId="21" xfId="0" applyBorder="1" applyAlignment="1">
      <alignment horizontal="center" wrapText="1"/>
    </xf>
    <xf numFmtId="1" fontId="0" fillId="0" borderId="21" xfId="0" applyNumberFormat="1" applyBorder="1" applyAlignment="1">
      <alignment horizontal="left"/>
    </xf>
    <xf numFmtId="1" fontId="0" fillId="0" borderId="22" xfId="0" applyNumberFormat="1" applyBorder="1" applyAlignment="1">
      <alignment horizontal="left"/>
    </xf>
    <xf numFmtId="0" fontId="0" fillId="0" borderId="16" xfId="0" applyFill="1" applyBorder="1" applyAlignment="1">
      <alignment horizontal="left" wrapText="1"/>
    </xf>
    <xf numFmtId="0" fontId="0" fillId="0" borderId="21" xfId="0" applyBorder="1"/>
    <xf numFmtId="0" fontId="0" fillId="0" borderId="21" xfId="0" applyFill="1" applyBorder="1" applyAlignment="1">
      <alignment horizontal="left" wrapText="1"/>
    </xf>
    <xf numFmtId="0" fontId="0" fillId="0" borderId="17" xfId="0" applyFill="1" applyBorder="1" applyAlignment="1">
      <alignment horizontal="left" wrapText="1"/>
    </xf>
    <xf numFmtId="0" fontId="0" fillId="0" borderId="22" xfId="0" applyBorder="1"/>
    <xf numFmtId="0" fontId="0" fillId="2" borderId="7" xfId="0" applyFill="1" applyBorder="1" applyAlignment="1">
      <alignment wrapText="1"/>
    </xf>
    <xf numFmtId="0" fontId="0" fillId="2" borderId="0" xfId="0" applyFill="1"/>
    <xf numFmtId="0" fontId="1" fillId="0" borderId="0" xfId="1" applyAlignment="1">
      <alignment wrapText="1"/>
    </xf>
    <xf numFmtId="0" fontId="0" fillId="0" borderId="2" xfId="0" applyBorder="1" applyAlignment="1">
      <alignment horizontal="center"/>
    </xf>
    <xf numFmtId="0" fontId="0" fillId="0" borderId="5" xfId="0" applyBorder="1" applyAlignment="1">
      <alignment horizontal="center"/>
    </xf>
    <xf numFmtId="0" fontId="0" fillId="0" borderId="2" xfId="0" applyFill="1" applyBorder="1" applyAlignment="1">
      <alignment horizontal="center"/>
    </xf>
    <xf numFmtId="0" fontId="0" fillId="0" borderId="5" xfId="0" applyFill="1" applyBorder="1" applyAlignment="1">
      <alignment horizontal="center"/>
    </xf>
    <xf numFmtId="0" fontId="0" fillId="0" borderId="1" xfId="0" applyBorder="1" applyAlignment="1">
      <alignment horizontal="left" vertical="top" wrapText="1"/>
    </xf>
    <xf numFmtId="0" fontId="0" fillId="0" borderId="4" xfId="0" applyBorder="1" applyAlignment="1">
      <alignment horizontal="left" vertical="top" wrapText="1"/>
    </xf>
    <xf numFmtId="0" fontId="0" fillId="0" borderId="1" xfId="0" applyBorder="1" applyAlignment="1">
      <alignment horizontal="left"/>
    </xf>
    <xf numFmtId="0" fontId="0" fillId="0" borderId="4" xfId="0" applyBorder="1" applyAlignment="1">
      <alignment horizontal="left"/>
    </xf>
    <xf numFmtId="0" fontId="0" fillId="0" borderId="1" xfId="0" applyBorder="1" applyAlignment="1">
      <alignment horizontal="left" wrapText="1"/>
    </xf>
    <xf numFmtId="0" fontId="0" fillId="0" borderId="4" xfId="0" applyBorder="1" applyAlignment="1">
      <alignment horizontal="left" wrapText="1"/>
    </xf>
    <xf numFmtId="0" fontId="0" fillId="0" borderId="2" xfId="0" applyBorder="1" applyAlignment="1">
      <alignment horizontal="center" wrapText="1"/>
    </xf>
    <xf numFmtId="0" fontId="0" fillId="0" borderId="5" xfId="0" applyBorder="1" applyAlignment="1">
      <alignment horizontal="center" wrapText="1"/>
    </xf>
    <xf numFmtId="0" fontId="0" fillId="0" borderId="13" xfId="0" applyFill="1" applyBorder="1" applyAlignment="1">
      <alignment horizontal="center"/>
    </xf>
    <xf numFmtId="0" fontId="0" fillId="0" borderId="14" xfId="0" applyFill="1" applyBorder="1" applyAlignment="1">
      <alignment horizontal="center"/>
    </xf>
    <xf numFmtId="0" fontId="0" fillId="0" borderId="11" xfId="0" applyBorder="1" applyAlignment="1">
      <alignment vertical="top" wrapText="1"/>
    </xf>
    <xf numFmtId="0" fontId="0" fillId="0" borderId="11" xfId="0" applyBorder="1" applyAlignment="1">
      <alignment vertical="top"/>
    </xf>
    <xf numFmtId="0" fontId="0" fillId="0" borderId="13" xfId="0" applyBorder="1" applyAlignment="1">
      <alignment horizontal="center"/>
    </xf>
    <xf numFmtId="0" fontId="0" fillId="0" borderId="14" xfId="0" applyBorder="1" applyAlignment="1">
      <alignment horizontal="center"/>
    </xf>
    <xf numFmtId="8" fontId="0" fillId="0" borderId="0" xfId="0" applyNumberFormat="1" applyAlignment="1">
      <alignment wrapText="1"/>
    </xf>
    <xf numFmtId="8" fontId="0" fillId="0" borderId="0" xfId="0" applyNumberFormat="1"/>
    <xf numFmtId="0" fontId="0" fillId="3" borderId="0" xfId="0" applyFill="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 Id="rId30"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9.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0.png"/></Relationships>
</file>

<file path=xl/drawings/_rels/drawing16.xml.rels><?xml version="1.0" encoding="UTF-8" standalone="yes"?>
<Relationships xmlns="http://schemas.openxmlformats.org/package/2006/relationships"><Relationship Id="rId1" Type="http://schemas.openxmlformats.org/officeDocument/2006/relationships/image" Target="../media/image31.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4.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 Id="rId5" Type="http://schemas.openxmlformats.org/officeDocument/2006/relationships/image" Target="../media/image39.png"/><Relationship Id="rId4" Type="http://schemas.openxmlformats.org/officeDocument/2006/relationships/image" Target="../media/image38.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4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5" Type="http://schemas.openxmlformats.org/officeDocument/2006/relationships/image" Target="../media/image9.png"/><Relationship Id="rId4" Type="http://schemas.openxmlformats.org/officeDocument/2006/relationships/image" Target="../media/image8.png"/></Relationships>
</file>

<file path=xl/drawings/_rels/drawing5.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6.png"/></Relationships>
</file>

<file path=xl/drawings/_rels/drawing9.xml.rels><?xml version="1.0" encoding="UTF-8" standalone="yes"?>
<Relationships xmlns="http://schemas.openxmlformats.org/package/2006/relationships"><Relationship Id="rId1"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editAs="oneCell">
    <xdr:from>
      <xdr:col>9</xdr:col>
      <xdr:colOff>520700</xdr:colOff>
      <xdr:row>3</xdr:row>
      <xdr:rowOff>361950</xdr:rowOff>
    </xdr:from>
    <xdr:to>
      <xdr:col>24</xdr:col>
      <xdr:colOff>557652</xdr:colOff>
      <xdr:row>11</xdr:row>
      <xdr:rowOff>18676</xdr:rowOff>
    </xdr:to>
    <xdr:pic>
      <xdr:nvPicPr>
        <xdr:cNvPr id="2" name="Picture 1">
          <a:extLst>
            <a:ext uri="{FF2B5EF4-FFF2-40B4-BE49-F238E27FC236}">
              <a16:creationId xmlns:a16="http://schemas.microsoft.com/office/drawing/2014/main" id="{6DB91372-5375-48F9-9687-A7B05AB5456C}"/>
            </a:ext>
          </a:extLst>
        </xdr:cNvPr>
        <xdr:cNvPicPr>
          <a:picLocks noChangeAspect="1"/>
        </xdr:cNvPicPr>
      </xdr:nvPicPr>
      <xdr:blipFill>
        <a:blip xmlns:r="http://schemas.openxmlformats.org/officeDocument/2006/relationships" r:embed="rId1"/>
        <a:stretch>
          <a:fillRect/>
        </a:stretch>
      </xdr:blipFill>
      <xdr:spPr>
        <a:xfrm>
          <a:off x="21028025" y="1885950"/>
          <a:ext cx="9180952" cy="3085726"/>
        </a:xfrm>
        <a:prstGeom prst="rect">
          <a:avLst/>
        </a:prstGeom>
      </xdr:spPr>
    </xdr:pic>
    <xdr:clientData/>
  </xdr:twoCellAnchor>
  <xdr:twoCellAnchor editAs="oneCell">
    <xdr:from>
      <xdr:col>14</xdr:col>
      <xdr:colOff>374650</xdr:colOff>
      <xdr:row>8</xdr:row>
      <xdr:rowOff>38100</xdr:rowOff>
    </xdr:from>
    <xdr:to>
      <xdr:col>25</xdr:col>
      <xdr:colOff>164288</xdr:colOff>
      <xdr:row>33</xdr:row>
      <xdr:rowOff>129607</xdr:rowOff>
    </xdr:to>
    <xdr:pic>
      <xdr:nvPicPr>
        <xdr:cNvPr id="3" name="Picture 2">
          <a:extLst>
            <a:ext uri="{FF2B5EF4-FFF2-40B4-BE49-F238E27FC236}">
              <a16:creationId xmlns:a16="http://schemas.microsoft.com/office/drawing/2014/main" id="{98A3FF8F-4C88-4468-9D9D-6D85CAC43D3A}"/>
            </a:ext>
          </a:extLst>
        </xdr:cNvPr>
        <xdr:cNvPicPr>
          <a:picLocks noChangeAspect="1"/>
        </xdr:cNvPicPr>
      </xdr:nvPicPr>
      <xdr:blipFill>
        <a:blip xmlns:r="http://schemas.openxmlformats.org/officeDocument/2006/relationships" r:embed="rId2"/>
        <a:stretch>
          <a:fillRect/>
        </a:stretch>
      </xdr:blipFill>
      <xdr:spPr>
        <a:xfrm>
          <a:off x="23929975" y="4038600"/>
          <a:ext cx="6495238" cy="485400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495300</xdr:colOff>
      <xdr:row>4</xdr:row>
      <xdr:rowOff>66675</xdr:rowOff>
    </xdr:from>
    <xdr:to>
      <xdr:col>19</xdr:col>
      <xdr:colOff>163790</xdr:colOff>
      <xdr:row>31</xdr:row>
      <xdr:rowOff>76919</xdr:rowOff>
    </xdr:to>
    <xdr:pic>
      <xdr:nvPicPr>
        <xdr:cNvPr id="2" name="Picture 1">
          <a:extLst>
            <a:ext uri="{FF2B5EF4-FFF2-40B4-BE49-F238E27FC236}">
              <a16:creationId xmlns:a16="http://schemas.microsoft.com/office/drawing/2014/main" id="{CD1137C9-4611-4845-A943-D402DEE73CB2}"/>
            </a:ext>
          </a:extLst>
        </xdr:cNvPr>
        <xdr:cNvPicPr>
          <a:picLocks noChangeAspect="1"/>
        </xdr:cNvPicPr>
      </xdr:nvPicPr>
      <xdr:blipFill>
        <a:blip xmlns:r="http://schemas.openxmlformats.org/officeDocument/2006/relationships" r:embed="rId1"/>
        <a:stretch>
          <a:fillRect/>
        </a:stretch>
      </xdr:blipFill>
      <xdr:spPr>
        <a:xfrm>
          <a:off x="495300" y="828675"/>
          <a:ext cx="13365440" cy="5153744"/>
        </a:xfrm>
        <a:prstGeom prst="rect">
          <a:avLst/>
        </a:prstGeom>
      </xdr:spPr>
    </xdr:pic>
    <xdr:clientData/>
  </xdr:twoCellAnchor>
  <xdr:twoCellAnchor editAs="oneCell">
    <xdr:from>
      <xdr:col>1</xdr:col>
      <xdr:colOff>0</xdr:colOff>
      <xdr:row>34</xdr:row>
      <xdr:rowOff>0</xdr:rowOff>
    </xdr:from>
    <xdr:to>
      <xdr:col>20</xdr:col>
      <xdr:colOff>249596</xdr:colOff>
      <xdr:row>66</xdr:row>
      <xdr:rowOff>38956</xdr:rowOff>
    </xdr:to>
    <xdr:pic>
      <xdr:nvPicPr>
        <xdr:cNvPr id="3" name="Picture 2">
          <a:extLst>
            <a:ext uri="{FF2B5EF4-FFF2-40B4-BE49-F238E27FC236}">
              <a16:creationId xmlns:a16="http://schemas.microsoft.com/office/drawing/2014/main" id="{EF6D2D26-0B76-29DC-8CB3-3E87B010764D}"/>
            </a:ext>
          </a:extLst>
        </xdr:cNvPr>
        <xdr:cNvPicPr>
          <a:picLocks noChangeAspect="1"/>
        </xdr:cNvPicPr>
      </xdr:nvPicPr>
      <xdr:blipFill>
        <a:blip xmlns:r="http://schemas.openxmlformats.org/officeDocument/2006/relationships" r:embed="rId2"/>
        <a:stretch>
          <a:fillRect/>
        </a:stretch>
      </xdr:blipFill>
      <xdr:spPr>
        <a:xfrm>
          <a:off x="609600" y="6477000"/>
          <a:ext cx="13946546" cy="613495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7</xdr:col>
      <xdr:colOff>20006</xdr:colOff>
      <xdr:row>21</xdr:row>
      <xdr:rowOff>48110</xdr:rowOff>
    </xdr:to>
    <xdr:pic>
      <xdr:nvPicPr>
        <xdr:cNvPr id="2" name="Picture 1">
          <a:extLst>
            <a:ext uri="{FF2B5EF4-FFF2-40B4-BE49-F238E27FC236}">
              <a16:creationId xmlns:a16="http://schemas.microsoft.com/office/drawing/2014/main" id="{3C5C01B3-752F-CA8E-CB5A-1168AC1DF7AA}"/>
            </a:ext>
          </a:extLst>
        </xdr:cNvPr>
        <xdr:cNvPicPr>
          <a:picLocks noChangeAspect="1"/>
        </xdr:cNvPicPr>
      </xdr:nvPicPr>
      <xdr:blipFill>
        <a:blip xmlns:r="http://schemas.openxmlformats.org/officeDocument/2006/relationships" r:embed="rId1"/>
        <a:stretch>
          <a:fillRect/>
        </a:stretch>
      </xdr:blipFill>
      <xdr:spPr>
        <a:xfrm>
          <a:off x="609600" y="571500"/>
          <a:ext cx="6849431" cy="347711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466725</xdr:colOff>
      <xdr:row>8</xdr:row>
      <xdr:rowOff>123825</xdr:rowOff>
    </xdr:from>
    <xdr:to>
      <xdr:col>1</xdr:col>
      <xdr:colOff>6573187</xdr:colOff>
      <xdr:row>20</xdr:row>
      <xdr:rowOff>9828</xdr:rowOff>
    </xdr:to>
    <xdr:pic>
      <xdr:nvPicPr>
        <xdr:cNvPr id="2" name="Picture 1">
          <a:extLst>
            <a:ext uri="{FF2B5EF4-FFF2-40B4-BE49-F238E27FC236}">
              <a16:creationId xmlns:a16="http://schemas.microsoft.com/office/drawing/2014/main" id="{085DA4D6-1823-4A7A-AAA1-BE4E5D1CB724}"/>
            </a:ext>
          </a:extLst>
        </xdr:cNvPr>
        <xdr:cNvPicPr>
          <a:picLocks noChangeAspect="1"/>
        </xdr:cNvPicPr>
      </xdr:nvPicPr>
      <xdr:blipFill>
        <a:blip xmlns:r="http://schemas.openxmlformats.org/officeDocument/2006/relationships" r:embed="rId1"/>
        <a:stretch>
          <a:fillRect/>
        </a:stretch>
      </xdr:blipFill>
      <xdr:spPr>
        <a:xfrm>
          <a:off x="466725" y="1647825"/>
          <a:ext cx="6716062" cy="2172003"/>
        </a:xfrm>
        <a:prstGeom prst="rect">
          <a:avLst/>
        </a:prstGeom>
      </xdr:spPr>
    </xdr:pic>
    <xdr:clientData/>
  </xdr:twoCellAnchor>
  <xdr:twoCellAnchor editAs="oneCell">
    <xdr:from>
      <xdr:col>2</xdr:col>
      <xdr:colOff>428625</xdr:colOff>
      <xdr:row>6</xdr:row>
      <xdr:rowOff>57150</xdr:rowOff>
    </xdr:from>
    <xdr:to>
      <xdr:col>18</xdr:col>
      <xdr:colOff>125144</xdr:colOff>
      <xdr:row>42</xdr:row>
      <xdr:rowOff>181949</xdr:rowOff>
    </xdr:to>
    <xdr:pic>
      <xdr:nvPicPr>
        <xdr:cNvPr id="3" name="Picture 2">
          <a:extLst>
            <a:ext uri="{FF2B5EF4-FFF2-40B4-BE49-F238E27FC236}">
              <a16:creationId xmlns:a16="http://schemas.microsoft.com/office/drawing/2014/main" id="{0400E052-1965-4060-B77B-BFA54BEB63F8}"/>
            </a:ext>
          </a:extLst>
        </xdr:cNvPr>
        <xdr:cNvPicPr>
          <a:picLocks noChangeAspect="1"/>
        </xdr:cNvPicPr>
      </xdr:nvPicPr>
      <xdr:blipFill>
        <a:blip xmlns:r="http://schemas.openxmlformats.org/officeDocument/2006/relationships" r:embed="rId2"/>
        <a:stretch>
          <a:fillRect/>
        </a:stretch>
      </xdr:blipFill>
      <xdr:spPr>
        <a:xfrm>
          <a:off x="8058150" y="2533650"/>
          <a:ext cx="9450119" cy="698279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5</xdr:col>
      <xdr:colOff>239111</xdr:colOff>
      <xdr:row>19</xdr:row>
      <xdr:rowOff>86136</xdr:rowOff>
    </xdr:to>
    <xdr:pic>
      <xdr:nvPicPr>
        <xdr:cNvPr id="2" name="Picture 1">
          <a:extLst>
            <a:ext uri="{FF2B5EF4-FFF2-40B4-BE49-F238E27FC236}">
              <a16:creationId xmlns:a16="http://schemas.microsoft.com/office/drawing/2014/main" id="{9E335870-7353-4C12-BAC1-CD779698FFB2}"/>
            </a:ext>
          </a:extLst>
        </xdr:cNvPr>
        <xdr:cNvPicPr>
          <a:picLocks noChangeAspect="1"/>
        </xdr:cNvPicPr>
      </xdr:nvPicPr>
      <xdr:blipFill>
        <a:blip xmlns:r="http://schemas.openxmlformats.org/officeDocument/2006/relationships" r:embed="rId1"/>
        <a:stretch>
          <a:fillRect/>
        </a:stretch>
      </xdr:blipFill>
      <xdr:spPr>
        <a:xfrm>
          <a:off x="609600" y="952500"/>
          <a:ext cx="7068536" cy="2943636"/>
        </a:xfrm>
        <a:prstGeom prst="rect">
          <a:avLst/>
        </a:prstGeom>
      </xdr:spPr>
    </xdr:pic>
    <xdr:clientData/>
  </xdr:twoCellAnchor>
  <xdr:twoCellAnchor editAs="oneCell">
    <xdr:from>
      <xdr:col>1</xdr:col>
      <xdr:colOff>0</xdr:colOff>
      <xdr:row>22</xdr:row>
      <xdr:rowOff>0</xdr:rowOff>
    </xdr:from>
    <xdr:to>
      <xdr:col>5</xdr:col>
      <xdr:colOff>115269</xdr:colOff>
      <xdr:row>36</xdr:row>
      <xdr:rowOff>57530</xdr:rowOff>
    </xdr:to>
    <xdr:pic>
      <xdr:nvPicPr>
        <xdr:cNvPr id="3" name="Picture 2">
          <a:extLst>
            <a:ext uri="{FF2B5EF4-FFF2-40B4-BE49-F238E27FC236}">
              <a16:creationId xmlns:a16="http://schemas.microsoft.com/office/drawing/2014/main" id="{BE4CD322-60F9-48AF-88F0-77268BC7C5AD}"/>
            </a:ext>
          </a:extLst>
        </xdr:cNvPr>
        <xdr:cNvPicPr>
          <a:picLocks noChangeAspect="1"/>
        </xdr:cNvPicPr>
      </xdr:nvPicPr>
      <xdr:blipFill>
        <a:blip xmlns:r="http://schemas.openxmlformats.org/officeDocument/2006/relationships" r:embed="rId2"/>
        <a:stretch>
          <a:fillRect/>
        </a:stretch>
      </xdr:blipFill>
      <xdr:spPr>
        <a:xfrm>
          <a:off x="609600" y="4381500"/>
          <a:ext cx="6944694" cy="2724530"/>
        </a:xfrm>
        <a:prstGeom prst="rect">
          <a:avLst/>
        </a:prstGeom>
      </xdr:spPr>
    </xdr:pic>
    <xdr:clientData/>
  </xdr:twoCellAnchor>
  <xdr:twoCellAnchor editAs="oneCell">
    <xdr:from>
      <xdr:col>7</xdr:col>
      <xdr:colOff>342900</xdr:colOff>
      <xdr:row>19</xdr:row>
      <xdr:rowOff>57150</xdr:rowOff>
    </xdr:from>
    <xdr:to>
      <xdr:col>18</xdr:col>
      <xdr:colOff>96151</xdr:colOff>
      <xdr:row>38</xdr:row>
      <xdr:rowOff>171971</xdr:rowOff>
    </xdr:to>
    <xdr:pic>
      <xdr:nvPicPr>
        <xdr:cNvPr id="4" name="Picture 3">
          <a:extLst>
            <a:ext uri="{FF2B5EF4-FFF2-40B4-BE49-F238E27FC236}">
              <a16:creationId xmlns:a16="http://schemas.microsoft.com/office/drawing/2014/main" id="{49BEC352-B7E7-46AB-9453-AD08F7A2BE5C}"/>
            </a:ext>
          </a:extLst>
        </xdr:cNvPr>
        <xdr:cNvPicPr>
          <a:picLocks noChangeAspect="1"/>
        </xdr:cNvPicPr>
      </xdr:nvPicPr>
      <xdr:blipFill>
        <a:blip xmlns:r="http://schemas.openxmlformats.org/officeDocument/2006/relationships" r:embed="rId3"/>
        <a:stretch>
          <a:fillRect/>
        </a:stretch>
      </xdr:blipFill>
      <xdr:spPr>
        <a:xfrm>
          <a:off x="9001125" y="3867150"/>
          <a:ext cx="6458851" cy="3734321"/>
        </a:xfrm>
        <a:prstGeom prst="rect">
          <a:avLst/>
        </a:prstGeom>
      </xdr:spPr>
    </xdr:pic>
    <xdr:clientData/>
  </xdr:twoCellAnchor>
  <xdr:twoCellAnchor editAs="oneCell">
    <xdr:from>
      <xdr:col>18</xdr:col>
      <xdr:colOff>38100</xdr:colOff>
      <xdr:row>19</xdr:row>
      <xdr:rowOff>171450</xdr:rowOff>
    </xdr:from>
    <xdr:to>
      <xdr:col>28</xdr:col>
      <xdr:colOff>248530</xdr:colOff>
      <xdr:row>38</xdr:row>
      <xdr:rowOff>481</xdr:rowOff>
    </xdr:to>
    <xdr:pic>
      <xdr:nvPicPr>
        <xdr:cNvPr id="5" name="Picture 4">
          <a:extLst>
            <a:ext uri="{FF2B5EF4-FFF2-40B4-BE49-F238E27FC236}">
              <a16:creationId xmlns:a16="http://schemas.microsoft.com/office/drawing/2014/main" id="{CF221F8E-36D0-4457-ACE7-44395D4E8F07}"/>
            </a:ext>
          </a:extLst>
        </xdr:cNvPr>
        <xdr:cNvPicPr>
          <a:picLocks noChangeAspect="1"/>
        </xdr:cNvPicPr>
      </xdr:nvPicPr>
      <xdr:blipFill>
        <a:blip xmlns:r="http://schemas.openxmlformats.org/officeDocument/2006/relationships" r:embed="rId4"/>
        <a:stretch>
          <a:fillRect/>
        </a:stretch>
      </xdr:blipFill>
      <xdr:spPr>
        <a:xfrm>
          <a:off x="15401925" y="3981450"/>
          <a:ext cx="6306430" cy="3448531"/>
        </a:xfrm>
        <a:prstGeom prst="rect">
          <a:avLst/>
        </a:prstGeom>
      </xdr:spPr>
    </xdr:pic>
    <xdr:clientData/>
  </xdr:twoCellAnchor>
  <xdr:twoCellAnchor editAs="oneCell">
    <xdr:from>
      <xdr:col>7</xdr:col>
      <xdr:colOff>0</xdr:colOff>
      <xdr:row>39</xdr:row>
      <xdr:rowOff>0</xdr:rowOff>
    </xdr:from>
    <xdr:to>
      <xdr:col>17</xdr:col>
      <xdr:colOff>410483</xdr:colOff>
      <xdr:row>56</xdr:row>
      <xdr:rowOff>133821</xdr:rowOff>
    </xdr:to>
    <xdr:pic>
      <xdr:nvPicPr>
        <xdr:cNvPr id="6" name="Picture 5">
          <a:extLst>
            <a:ext uri="{FF2B5EF4-FFF2-40B4-BE49-F238E27FC236}">
              <a16:creationId xmlns:a16="http://schemas.microsoft.com/office/drawing/2014/main" id="{330D1489-A58D-4C3E-A7B3-1BB67D048467}"/>
            </a:ext>
          </a:extLst>
        </xdr:cNvPr>
        <xdr:cNvPicPr>
          <a:picLocks noChangeAspect="1"/>
        </xdr:cNvPicPr>
      </xdr:nvPicPr>
      <xdr:blipFill>
        <a:blip xmlns:r="http://schemas.openxmlformats.org/officeDocument/2006/relationships" r:embed="rId5"/>
        <a:stretch>
          <a:fillRect/>
        </a:stretch>
      </xdr:blipFill>
      <xdr:spPr>
        <a:xfrm>
          <a:off x="8658225" y="7620000"/>
          <a:ext cx="6506483" cy="3372321"/>
        </a:xfrm>
        <a:prstGeom prst="rect">
          <a:avLst/>
        </a:prstGeom>
      </xdr:spPr>
    </xdr:pic>
    <xdr:clientData/>
  </xdr:twoCellAnchor>
  <xdr:twoCellAnchor editAs="oneCell">
    <xdr:from>
      <xdr:col>19</xdr:col>
      <xdr:colOff>0</xdr:colOff>
      <xdr:row>39</xdr:row>
      <xdr:rowOff>0</xdr:rowOff>
    </xdr:from>
    <xdr:to>
      <xdr:col>29</xdr:col>
      <xdr:colOff>562904</xdr:colOff>
      <xdr:row>57</xdr:row>
      <xdr:rowOff>48110</xdr:rowOff>
    </xdr:to>
    <xdr:pic>
      <xdr:nvPicPr>
        <xdr:cNvPr id="7" name="Picture 6">
          <a:extLst>
            <a:ext uri="{FF2B5EF4-FFF2-40B4-BE49-F238E27FC236}">
              <a16:creationId xmlns:a16="http://schemas.microsoft.com/office/drawing/2014/main" id="{72164B9F-5A23-44E4-96C7-061C1E56485F}"/>
            </a:ext>
          </a:extLst>
        </xdr:cNvPr>
        <xdr:cNvPicPr>
          <a:picLocks noChangeAspect="1"/>
        </xdr:cNvPicPr>
      </xdr:nvPicPr>
      <xdr:blipFill>
        <a:blip xmlns:r="http://schemas.openxmlformats.org/officeDocument/2006/relationships" r:embed="rId6"/>
        <a:stretch>
          <a:fillRect/>
        </a:stretch>
      </xdr:blipFill>
      <xdr:spPr>
        <a:xfrm>
          <a:off x="15973425" y="7620000"/>
          <a:ext cx="6658904" cy="347711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8</xdr:row>
      <xdr:rowOff>0</xdr:rowOff>
    </xdr:from>
    <xdr:to>
      <xdr:col>3</xdr:col>
      <xdr:colOff>30697</xdr:colOff>
      <xdr:row>35</xdr:row>
      <xdr:rowOff>10244</xdr:rowOff>
    </xdr:to>
    <xdr:pic>
      <xdr:nvPicPr>
        <xdr:cNvPr id="2" name="Picture 1">
          <a:extLst>
            <a:ext uri="{FF2B5EF4-FFF2-40B4-BE49-F238E27FC236}">
              <a16:creationId xmlns:a16="http://schemas.microsoft.com/office/drawing/2014/main" id="{D647CDA5-1942-4A16-87F9-C765A4D44BA7}"/>
            </a:ext>
          </a:extLst>
        </xdr:cNvPr>
        <xdr:cNvPicPr>
          <a:picLocks noChangeAspect="1"/>
        </xdr:cNvPicPr>
      </xdr:nvPicPr>
      <xdr:blipFill>
        <a:blip xmlns:r="http://schemas.openxmlformats.org/officeDocument/2006/relationships" r:embed="rId1"/>
        <a:stretch>
          <a:fillRect/>
        </a:stretch>
      </xdr:blipFill>
      <xdr:spPr>
        <a:xfrm>
          <a:off x="1219200" y="1524000"/>
          <a:ext cx="15204022" cy="51537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228600</xdr:colOff>
      <xdr:row>4</xdr:row>
      <xdr:rowOff>133350</xdr:rowOff>
    </xdr:from>
    <xdr:to>
      <xdr:col>13</xdr:col>
      <xdr:colOff>382127</xdr:colOff>
      <xdr:row>44</xdr:row>
      <xdr:rowOff>182045</xdr:rowOff>
    </xdr:to>
    <xdr:pic>
      <xdr:nvPicPr>
        <xdr:cNvPr id="2" name="Picture 1">
          <a:extLst>
            <a:ext uri="{FF2B5EF4-FFF2-40B4-BE49-F238E27FC236}">
              <a16:creationId xmlns:a16="http://schemas.microsoft.com/office/drawing/2014/main" id="{3CC819C9-FD42-128F-DED5-9026702D5F66}"/>
            </a:ext>
          </a:extLst>
        </xdr:cNvPr>
        <xdr:cNvPicPr>
          <a:picLocks noChangeAspect="1"/>
        </xdr:cNvPicPr>
      </xdr:nvPicPr>
      <xdr:blipFill>
        <a:blip xmlns:r="http://schemas.openxmlformats.org/officeDocument/2006/relationships" r:embed="rId1"/>
        <a:stretch>
          <a:fillRect/>
        </a:stretch>
      </xdr:blipFill>
      <xdr:spPr>
        <a:xfrm>
          <a:off x="228600" y="895350"/>
          <a:ext cx="8078327" cy="7668695"/>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11</xdr:col>
      <xdr:colOff>563193</xdr:colOff>
      <xdr:row>34</xdr:row>
      <xdr:rowOff>10324</xdr:rowOff>
    </xdr:to>
    <xdr:pic>
      <xdr:nvPicPr>
        <xdr:cNvPr id="2" name="Picture 1">
          <a:extLst>
            <a:ext uri="{FF2B5EF4-FFF2-40B4-BE49-F238E27FC236}">
              <a16:creationId xmlns:a16="http://schemas.microsoft.com/office/drawing/2014/main" id="{3DE5B594-3806-476A-9453-A698116AD785}"/>
            </a:ext>
          </a:extLst>
        </xdr:cNvPr>
        <xdr:cNvPicPr>
          <a:picLocks noChangeAspect="1"/>
        </xdr:cNvPicPr>
      </xdr:nvPicPr>
      <xdr:blipFill>
        <a:blip xmlns:r="http://schemas.openxmlformats.org/officeDocument/2006/relationships" r:embed="rId1"/>
        <a:stretch>
          <a:fillRect/>
        </a:stretch>
      </xdr:blipFill>
      <xdr:spPr>
        <a:xfrm>
          <a:off x="609600" y="762000"/>
          <a:ext cx="8726118" cy="572532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95250</xdr:colOff>
      <xdr:row>5</xdr:row>
      <xdr:rowOff>19050</xdr:rowOff>
    </xdr:from>
    <xdr:to>
      <xdr:col>3</xdr:col>
      <xdr:colOff>4008951</xdr:colOff>
      <xdr:row>34</xdr:row>
      <xdr:rowOff>170740</xdr:rowOff>
    </xdr:to>
    <xdr:pic>
      <xdr:nvPicPr>
        <xdr:cNvPr id="2" name="Picture 1">
          <a:extLst>
            <a:ext uri="{FF2B5EF4-FFF2-40B4-BE49-F238E27FC236}">
              <a16:creationId xmlns:a16="http://schemas.microsoft.com/office/drawing/2014/main" id="{56B4912A-B748-4764-8311-75C9EAF81497}"/>
            </a:ext>
          </a:extLst>
        </xdr:cNvPr>
        <xdr:cNvPicPr>
          <a:picLocks noChangeAspect="1"/>
        </xdr:cNvPicPr>
      </xdr:nvPicPr>
      <xdr:blipFill>
        <a:blip xmlns:r="http://schemas.openxmlformats.org/officeDocument/2006/relationships" r:embed="rId1"/>
        <a:stretch>
          <a:fillRect/>
        </a:stretch>
      </xdr:blipFill>
      <xdr:spPr>
        <a:xfrm>
          <a:off x="704850" y="971550"/>
          <a:ext cx="8590476" cy="5676190"/>
        </a:xfrm>
        <a:prstGeom prst="rect">
          <a:avLst/>
        </a:prstGeom>
      </xdr:spPr>
    </xdr:pic>
    <xdr:clientData/>
  </xdr:twoCellAnchor>
  <xdr:twoCellAnchor editAs="oneCell">
    <xdr:from>
      <xdr:col>4</xdr:col>
      <xdr:colOff>66675</xdr:colOff>
      <xdr:row>1</xdr:row>
      <xdr:rowOff>161925</xdr:rowOff>
    </xdr:from>
    <xdr:to>
      <xdr:col>19</xdr:col>
      <xdr:colOff>401855</xdr:colOff>
      <xdr:row>39</xdr:row>
      <xdr:rowOff>172462</xdr:rowOff>
    </xdr:to>
    <xdr:pic>
      <xdr:nvPicPr>
        <xdr:cNvPr id="3" name="Picture 2">
          <a:extLst>
            <a:ext uri="{FF2B5EF4-FFF2-40B4-BE49-F238E27FC236}">
              <a16:creationId xmlns:a16="http://schemas.microsoft.com/office/drawing/2014/main" id="{3CBB080D-8378-449C-A645-63A50036ED3F}"/>
            </a:ext>
          </a:extLst>
        </xdr:cNvPr>
        <xdr:cNvPicPr>
          <a:picLocks noChangeAspect="1"/>
        </xdr:cNvPicPr>
      </xdr:nvPicPr>
      <xdr:blipFill>
        <a:blip xmlns:r="http://schemas.openxmlformats.org/officeDocument/2006/relationships" r:embed="rId2"/>
        <a:stretch>
          <a:fillRect/>
        </a:stretch>
      </xdr:blipFill>
      <xdr:spPr>
        <a:xfrm>
          <a:off x="9420225" y="352425"/>
          <a:ext cx="12936755" cy="7249537"/>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400050</xdr:colOff>
      <xdr:row>8</xdr:row>
      <xdr:rowOff>38100</xdr:rowOff>
    </xdr:from>
    <xdr:to>
      <xdr:col>3</xdr:col>
      <xdr:colOff>105932</xdr:colOff>
      <xdr:row>44</xdr:row>
      <xdr:rowOff>58110</xdr:rowOff>
    </xdr:to>
    <xdr:pic>
      <xdr:nvPicPr>
        <xdr:cNvPr id="2" name="Picture 1">
          <a:extLst>
            <a:ext uri="{FF2B5EF4-FFF2-40B4-BE49-F238E27FC236}">
              <a16:creationId xmlns:a16="http://schemas.microsoft.com/office/drawing/2014/main" id="{EFB7FBE9-9374-4D2B-9AB4-C6C9FB74F153}"/>
            </a:ext>
          </a:extLst>
        </xdr:cNvPr>
        <xdr:cNvPicPr>
          <a:picLocks noChangeAspect="1"/>
        </xdr:cNvPicPr>
      </xdr:nvPicPr>
      <xdr:blipFill>
        <a:blip xmlns:r="http://schemas.openxmlformats.org/officeDocument/2006/relationships" r:embed="rId1"/>
        <a:stretch>
          <a:fillRect/>
        </a:stretch>
      </xdr:blipFill>
      <xdr:spPr>
        <a:xfrm>
          <a:off x="400050" y="1562100"/>
          <a:ext cx="8287907" cy="687801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219075</xdr:colOff>
      <xdr:row>23</xdr:row>
      <xdr:rowOff>180975</xdr:rowOff>
    </xdr:to>
    <xdr:pic>
      <xdr:nvPicPr>
        <xdr:cNvPr id="2" name="Picture 1">
          <a:extLst>
            <a:ext uri="{FF2B5EF4-FFF2-40B4-BE49-F238E27FC236}">
              <a16:creationId xmlns:a16="http://schemas.microsoft.com/office/drawing/2014/main" id="{80D45AFF-9994-4131-8E1D-B22E6427A352}"/>
            </a:ext>
          </a:extLst>
        </xdr:cNvPr>
        <xdr:cNvPicPr>
          <a:picLocks noChangeAspect="1"/>
        </xdr:cNvPicPr>
      </xdr:nvPicPr>
      <xdr:blipFill rotWithShape="1">
        <a:blip xmlns:r="http://schemas.openxmlformats.org/officeDocument/2006/relationships" r:embed="rId1"/>
        <a:srcRect l="5857" r="5892"/>
        <a:stretch/>
      </xdr:blipFill>
      <xdr:spPr>
        <a:xfrm>
          <a:off x="0" y="0"/>
          <a:ext cx="6315075" cy="4562475"/>
        </a:xfrm>
        <a:prstGeom prst="rect">
          <a:avLst/>
        </a:prstGeom>
      </xdr:spPr>
    </xdr:pic>
    <xdr:clientData/>
  </xdr:twoCellAnchor>
  <xdr:twoCellAnchor editAs="oneCell">
    <xdr:from>
      <xdr:col>0</xdr:col>
      <xdr:colOff>0</xdr:colOff>
      <xdr:row>26</xdr:row>
      <xdr:rowOff>104776</xdr:rowOff>
    </xdr:from>
    <xdr:to>
      <xdr:col>9</xdr:col>
      <xdr:colOff>179545</xdr:colOff>
      <xdr:row>49</xdr:row>
      <xdr:rowOff>85726</xdr:rowOff>
    </xdr:to>
    <xdr:pic>
      <xdr:nvPicPr>
        <xdr:cNvPr id="3" name="Picture 2">
          <a:extLst>
            <a:ext uri="{FF2B5EF4-FFF2-40B4-BE49-F238E27FC236}">
              <a16:creationId xmlns:a16="http://schemas.microsoft.com/office/drawing/2014/main" id="{6340BBCE-2AF6-4B5C-9D92-DA454E8EBF15}"/>
            </a:ext>
          </a:extLst>
        </xdr:cNvPr>
        <xdr:cNvPicPr>
          <a:picLocks noChangeAspect="1"/>
        </xdr:cNvPicPr>
      </xdr:nvPicPr>
      <xdr:blipFill>
        <a:blip xmlns:r="http://schemas.openxmlformats.org/officeDocument/2006/relationships" r:embed="rId2"/>
        <a:stretch>
          <a:fillRect/>
        </a:stretch>
      </xdr:blipFill>
      <xdr:spPr>
        <a:xfrm>
          <a:off x="0" y="5057776"/>
          <a:ext cx="5665945" cy="4362450"/>
        </a:xfrm>
        <a:prstGeom prst="rect">
          <a:avLst/>
        </a:prstGeom>
      </xdr:spPr>
    </xdr:pic>
    <xdr:clientData/>
  </xdr:twoCellAnchor>
  <xdr:twoCellAnchor editAs="oneCell">
    <xdr:from>
      <xdr:col>11</xdr:col>
      <xdr:colOff>28575</xdr:colOff>
      <xdr:row>23</xdr:row>
      <xdr:rowOff>28575</xdr:rowOff>
    </xdr:from>
    <xdr:to>
      <xdr:col>21</xdr:col>
      <xdr:colOff>342900</xdr:colOff>
      <xdr:row>50</xdr:row>
      <xdr:rowOff>131850</xdr:rowOff>
    </xdr:to>
    <xdr:pic>
      <xdr:nvPicPr>
        <xdr:cNvPr id="4" name="Picture 3">
          <a:extLst>
            <a:ext uri="{FF2B5EF4-FFF2-40B4-BE49-F238E27FC236}">
              <a16:creationId xmlns:a16="http://schemas.microsoft.com/office/drawing/2014/main" id="{A8022D80-E675-4F07-A144-8CB0445074D2}"/>
            </a:ext>
          </a:extLst>
        </xdr:cNvPr>
        <xdr:cNvPicPr>
          <a:picLocks noChangeAspect="1"/>
        </xdr:cNvPicPr>
      </xdr:nvPicPr>
      <xdr:blipFill>
        <a:blip xmlns:r="http://schemas.openxmlformats.org/officeDocument/2006/relationships" r:embed="rId3"/>
        <a:stretch>
          <a:fillRect/>
        </a:stretch>
      </xdr:blipFill>
      <xdr:spPr>
        <a:xfrm>
          <a:off x="6734175" y="4410075"/>
          <a:ext cx="7000875" cy="5246775"/>
        </a:xfrm>
        <a:prstGeom prst="rect">
          <a:avLst/>
        </a:prstGeom>
      </xdr:spPr>
    </xdr:pic>
    <xdr:clientData/>
  </xdr:twoCellAnchor>
  <xdr:twoCellAnchor editAs="oneCell">
    <xdr:from>
      <xdr:col>11</xdr:col>
      <xdr:colOff>333375</xdr:colOff>
      <xdr:row>2</xdr:row>
      <xdr:rowOff>161925</xdr:rowOff>
    </xdr:from>
    <xdr:to>
      <xdr:col>27</xdr:col>
      <xdr:colOff>487943</xdr:colOff>
      <xdr:row>21</xdr:row>
      <xdr:rowOff>24832</xdr:rowOff>
    </xdr:to>
    <xdr:pic>
      <xdr:nvPicPr>
        <xdr:cNvPr id="5" name="Picture 4">
          <a:extLst>
            <a:ext uri="{FF2B5EF4-FFF2-40B4-BE49-F238E27FC236}">
              <a16:creationId xmlns:a16="http://schemas.microsoft.com/office/drawing/2014/main" id="{57474C27-81AA-4DCE-9067-0EAB8727DFDD}"/>
            </a:ext>
          </a:extLst>
        </xdr:cNvPr>
        <xdr:cNvPicPr>
          <a:picLocks noChangeAspect="1"/>
        </xdr:cNvPicPr>
      </xdr:nvPicPr>
      <xdr:blipFill>
        <a:blip xmlns:r="http://schemas.openxmlformats.org/officeDocument/2006/relationships" r:embed="rId4"/>
        <a:stretch>
          <a:fillRect/>
        </a:stretch>
      </xdr:blipFill>
      <xdr:spPr>
        <a:xfrm>
          <a:off x="7038975" y="542925"/>
          <a:ext cx="10498718" cy="3482407"/>
        </a:xfrm>
        <a:prstGeom prst="rect">
          <a:avLst/>
        </a:prstGeom>
      </xdr:spPr>
    </xdr:pic>
    <xdr:clientData/>
  </xdr:twoCellAnchor>
  <xdr:twoCellAnchor editAs="oneCell">
    <xdr:from>
      <xdr:col>11</xdr:col>
      <xdr:colOff>47625</xdr:colOff>
      <xdr:row>51</xdr:row>
      <xdr:rowOff>38100</xdr:rowOff>
    </xdr:from>
    <xdr:to>
      <xdr:col>26</xdr:col>
      <xdr:colOff>363353</xdr:colOff>
      <xdr:row>71</xdr:row>
      <xdr:rowOff>19579</xdr:rowOff>
    </xdr:to>
    <xdr:pic>
      <xdr:nvPicPr>
        <xdr:cNvPr id="6" name="Picture 5">
          <a:extLst>
            <a:ext uri="{FF2B5EF4-FFF2-40B4-BE49-F238E27FC236}">
              <a16:creationId xmlns:a16="http://schemas.microsoft.com/office/drawing/2014/main" id="{54C68794-78B8-424B-BCFB-1FCD0055B398}"/>
            </a:ext>
          </a:extLst>
        </xdr:cNvPr>
        <xdr:cNvPicPr>
          <a:picLocks noChangeAspect="1"/>
        </xdr:cNvPicPr>
      </xdr:nvPicPr>
      <xdr:blipFill>
        <a:blip xmlns:r="http://schemas.openxmlformats.org/officeDocument/2006/relationships" r:embed="rId5"/>
        <a:stretch>
          <a:fillRect/>
        </a:stretch>
      </xdr:blipFill>
      <xdr:spPr>
        <a:xfrm>
          <a:off x="6753225" y="9753600"/>
          <a:ext cx="10050278" cy="379147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9</xdr:col>
      <xdr:colOff>520700</xdr:colOff>
      <xdr:row>9</xdr:row>
      <xdr:rowOff>361950</xdr:rowOff>
    </xdr:from>
    <xdr:to>
      <xdr:col>24</xdr:col>
      <xdr:colOff>557652</xdr:colOff>
      <xdr:row>14</xdr:row>
      <xdr:rowOff>590176</xdr:rowOff>
    </xdr:to>
    <xdr:pic>
      <xdr:nvPicPr>
        <xdr:cNvPr id="2" name="Picture 1">
          <a:extLst>
            <a:ext uri="{FF2B5EF4-FFF2-40B4-BE49-F238E27FC236}">
              <a16:creationId xmlns:a16="http://schemas.microsoft.com/office/drawing/2014/main" id="{363E4EC7-9E7B-4597-A35D-68C911EE0AD4}"/>
            </a:ext>
          </a:extLst>
        </xdr:cNvPr>
        <xdr:cNvPicPr>
          <a:picLocks noChangeAspect="1"/>
        </xdr:cNvPicPr>
      </xdr:nvPicPr>
      <xdr:blipFill>
        <a:blip xmlns:r="http://schemas.openxmlformats.org/officeDocument/2006/relationships" r:embed="rId1"/>
        <a:stretch>
          <a:fillRect/>
        </a:stretch>
      </xdr:blipFill>
      <xdr:spPr>
        <a:xfrm>
          <a:off x="13030200" y="6254750"/>
          <a:ext cx="9180952" cy="2990476"/>
        </a:xfrm>
        <a:prstGeom prst="rect">
          <a:avLst/>
        </a:prstGeom>
      </xdr:spPr>
    </xdr:pic>
    <xdr:clientData/>
  </xdr:twoCellAnchor>
  <xdr:twoCellAnchor editAs="oneCell">
    <xdr:from>
      <xdr:col>14</xdr:col>
      <xdr:colOff>374650</xdr:colOff>
      <xdr:row>20</xdr:row>
      <xdr:rowOff>38100</xdr:rowOff>
    </xdr:from>
    <xdr:to>
      <xdr:col>25</xdr:col>
      <xdr:colOff>164288</xdr:colOff>
      <xdr:row>45</xdr:row>
      <xdr:rowOff>129607</xdr:rowOff>
    </xdr:to>
    <xdr:pic>
      <xdr:nvPicPr>
        <xdr:cNvPr id="3" name="Picture 2">
          <a:extLst>
            <a:ext uri="{FF2B5EF4-FFF2-40B4-BE49-F238E27FC236}">
              <a16:creationId xmlns:a16="http://schemas.microsoft.com/office/drawing/2014/main" id="{DE1600DD-F087-4430-9620-56C2A880E8CA}"/>
            </a:ext>
          </a:extLst>
        </xdr:cNvPr>
        <xdr:cNvPicPr>
          <a:picLocks noChangeAspect="1"/>
        </xdr:cNvPicPr>
      </xdr:nvPicPr>
      <xdr:blipFill>
        <a:blip xmlns:r="http://schemas.openxmlformats.org/officeDocument/2006/relationships" r:embed="rId2"/>
        <a:stretch>
          <a:fillRect/>
        </a:stretch>
      </xdr:blipFill>
      <xdr:spPr>
        <a:xfrm>
          <a:off x="15932150" y="7956550"/>
          <a:ext cx="6495238" cy="454285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4</xdr:row>
      <xdr:rowOff>95250</xdr:rowOff>
    </xdr:from>
    <xdr:to>
      <xdr:col>16</xdr:col>
      <xdr:colOff>600075</xdr:colOff>
      <xdr:row>36</xdr:row>
      <xdr:rowOff>171450</xdr:rowOff>
    </xdr:to>
    <xdr:pic>
      <xdr:nvPicPr>
        <xdr:cNvPr id="2" name="Picture 1">
          <a:extLst>
            <a:ext uri="{FF2B5EF4-FFF2-40B4-BE49-F238E27FC236}">
              <a16:creationId xmlns:a16="http://schemas.microsoft.com/office/drawing/2014/main" id="{A4AC75FC-684E-499B-B4FA-7274BBBFF3A1}"/>
            </a:ext>
          </a:extLst>
        </xdr:cNvPr>
        <xdr:cNvPicPr>
          <a:picLocks noChangeAspect="1"/>
        </xdr:cNvPicPr>
      </xdr:nvPicPr>
      <xdr:blipFill rotWithShape="1">
        <a:blip xmlns:r="http://schemas.openxmlformats.org/officeDocument/2006/relationships" r:embed="rId1"/>
        <a:srcRect l="7450" t="3267" r="522" b="4701"/>
        <a:stretch/>
      </xdr:blipFill>
      <xdr:spPr>
        <a:xfrm>
          <a:off x="0" y="857250"/>
          <a:ext cx="10353675" cy="6172200"/>
        </a:xfrm>
        <a:prstGeom prst="rect">
          <a:avLst/>
        </a:prstGeom>
      </xdr:spPr>
    </xdr:pic>
    <xdr:clientData/>
  </xdr:twoCellAnchor>
  <xdr:twoCellAnchor editAs="oneCell">
    <xdr:from>
      <xdr:col>17</xdr:col>
      <xdr:colOff>142875</xdr:colOff>
      <xdr:row>3</xdr:row>
      <xdr:rowOff>152400</xdr:rowOff>
    </xdr:from>
    <xdr:to>
      <xdr:col>32</xdr:col>
      <xdr:colOff>153678</xdr:colOff>
      <xdr:row>33</xdr:row>
      <xdr:rowOff>19829</xdr:rowOff>
    </xdr:to>
    <xdr:pic>
      <xdr:nvPicPr>
        <xdr:cNvPr id="3" name="Picture 2">
          <a:extLst>
            <a:ext uri="{FF2B5EF4-FFF2-40B4-BE49-F238E27FC236}">
              <a16:creationId xmlns:a16="http://schemas.microsoft.com/office/drawing/2014/main" id="{4D12C802-18B2-4B6F-AA10-748D889002B1}"/>
            </a:ext>
          </a:extLst>
        </xdr:cNvPr>
        <xdr:cNvPicPr>
          <a:picLocks noChangeAspect="1"/>
        </xdr:cNvPicPr>
      </xdr:nvPicPr>
      <xdr:blipFill>
        <a:blip xmlns:r="http://schemas.openxmlformats.org/officeDocument/2006/relationships" r:embed="rId2"/>
        <a:stretch>
          <a:fillRect/>
        </a:stretch>
      </xdr:blipFill>
      <xdr:spPr>
        <a:xfrm>
          <a:off x="10506075" y="723900"/>
          <a:ext cx="9154803" cy="5582429"/>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oneCellAnchor>
    <xdr:from>
      <xdr:col>4</xdr:col>
      <xdr:colOff>257175</xdr:colOff>
      <xdr:row>22</xdr:row>
      <xdr:rowOff>0</xdr:rowOff>
    </xdr:from>
    <xdr:ext cx="14346652" cy="1695687"/>
    <xdr:pic>
      <xdr:nvPicPr>
        <xdr:cNvPr id="2" name="Picture 1">
          <a:extLst>
            <a:ext uri="{FF2B5EF4-FFF2-40B4-BE49-F238E27FC236}">
              <a16:creationId xmlns:a16="http://schemas.microsoft.com/office/drawing/2014/main" id="{44203355-FC1C-42BC-8871-EB75EA7832E2}"/>
            </a:ext>
          </a:extLst>
        </xdr:cNvPr>
        <xdr:cNvPicPr>
          <a:picLocks noChangeAspect="1"/>
        </xdr:cNvPicPr>
      </xdr:nvPicPr>
      <xdr:blipFill>
        <a:blip xmlns:r="http://schemas.openxmlformats.org/officeDocument/2006/relationships" r:embed="rId1"/>
        <a:stretch>
          <a:fillRect/>
        </a:stretch>
      </xdr:blipFill>
      <xdr:spPr>
        <a:xfrm>
          <a:off x="2695575" y="4191000"/>
          <a:ext cx="14346652" cy="1695687"/>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1</xdr:col>
      <xdr:colOff>428626</xdr:colOff>
      <xdr:row>5</xdr:row>
      <xdr:rowOff>9525</xdr:rowOff>
    </xdr:from>
    <xdr:to>
      <xdr:col>12</xdr:col>
      <xdr:colOff>352426</xdr:colOff>
      <xdr:row>31</xdr:row>
      <xdr:rowOff>3123</xdr:rowOff>
    </xdr:to>
    <xdr:pic>
      <xdr:nvPicPr>
        <xdr:cNvPr id="2" name="Picture 1">
          <a:extLst>
            <a:ext uri="{FF2B5EF4-FFF2-40B4-BE49-F238E27FC236}">
              <a16:creationId xmlns:a16="http://schemas.microsoft.com/office/drawing/2014/main" id="{FCD82185-E56E-43C6-9BB3-141291DFFD7E}"/>
            </a:ext>
          </a:extLst>
        </xdr:cNvPr>
        <xdr:cNvPicPr>
          <a:picLocks noChangeAspect="1"/>
        </xdr:cNvPicPr>
      </xdr:nvPicPr>
      <xdr:blipFill>
        <a:blip xmlns:r="http://schemas.openxmlformats.org/officeDocument/2006/relationships" r:embed="rId1"/>
        <a:stretch>
          <a:fillRect/>
        </a:stretch>
      </xdr:blipFill>
      <xdr:spPr>
        <a:xfrm>
          <a:off x="1038226" y="962025"/>
          <a:ext cx="7772400" cy="4946598"/>
        </a:xfrm>
        <a:prstGeom prst="rect">
          <a:avLst/>
        </a:prstGeom>
      </xdr:spPr>
    </xdr:pic>
    <xdr:clientData/>
  </xdr:twoCellAnchor>
  <xdr:twoCellAnchor editAs="oneCell">
    <xdr:from>
      <xdr:col>13</xdr:col>
      <xdr:colOff>457200</xdr:colOff>
      <xdr:row>6</xdr:row>
      <xdr:rowOff>19050</xdr:rowOff>
    </xdr:from>
    <xdr:to>
      <xdr:col>36</xdr:col>
      <xdr:colOff>325788</xdr:colOff>
      <xdr:row>29</xdr:row>
      <xdr:rowOff>57767</xdr:rowOff>
    </xdr:to>
    <xdr:pic>
      <xdr:nvPicPr>
        <xdr:cNvPr id="3" name="Picture 2">
          <a:extLst>
            <a:ext uri="{FF2B5EF4-FFF2-40B4-BE49-F238E27FC236}">
              <a16:creationId xmlns:a16="http://schemas.microsoft.com/office/drawing/2014/main" id="{B2496D92-BD39-41B3-89AC-DBA270186EFB}"/>
            </a:ext>
          </a:extLst>
        </xdr:cNvPr>
        <xdr:cNvPicPr>
          <a:picLocks noChangeAspect="1"/>
        </xdr:cNvPicPr>
      </xdr:nvPicPr>
      <xdr:blipFill>
        <a:blip xmlns:r="http://schemas.openxmlformats.org/officeDocument/2006/relationships" r:embed="rId2"/>
        <a:stretch>
          <a:fillRect/>
        </a:stretch>
      </xdr:blipFill>
      <xdr:spPr>
        <a:xfrm>
          <a:off x="9525000" y="1162050"/>
          <a:ext cx="13889388" cy="442021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95250</xdr:colOff>
      <xdr:row>2</xdr:row>
      <xdr:rowOff>21980</xdr:rowOff>
    </xdr:from>
    <xdr:to>
      <xdr:col>21</xdr:col>
      <xdr:colOff>88040</xdr:colOff>
      <xdr:row>24</xdr:row>
      <xdr:rowOff>79723</xdr:rowOff>
    </xdr:to>
    <xdr:pic>
      <xdr:nvPicPr>
        <xdr:cNvPr id="2" name="Picture 1">
          <a:extLst>
            <a:ext uri="{FF2B5EF4-FFF2-40B4-BE49-F238E27FC236}">
              <a16:creationId xmlns:a16="http://schemas.microsoft.com/office/drawing/2014/main" id="{ED7BDED5-767F-46C7-BAF8-5B0E8424ADC1}"/>
            </a:ext>
          </a:extLst>
        </xdr:cNvPr>
        <xdr:cNvPicPr>
          <a:picLocks noChangeAspect="1"/>
        </xdr:cNvPicPr>
      </xdr:nvPicPr>
      <xdr:blipFill>
        <a:blip xmlns:r="http://schemas.openxmlformats.org/officeDocument/2006/relationships" r:embed="rId1"/>
        <a:stretch>
          <a:fillRect/>
        </a:stretch>
      </xdr:blipFill>
      <xdr:spPr>
        <a:xfrm>
          <a:off x="8184173" y="402980"/>
          <a:ext cx="6074136" cy="4248743"/>
        </a:xfrm>
        <a:prstGeom prst="rect">
          <a:avLst/>
        </a:prstGeom>
      </xdr:spPr>
    </xdr:pic>
    <xdr:clientData/>
  </xdr:twoCellAnchor>
  <xdr:twoCellAnchor editAs="oneCell">
    <xdr:from>
      <xdr:col>11</xdr:col>
      <xdr:colOff>542193</xdr:colOff>
      <xdr:row>27</xdr:row>
      <xdr:rowOff>61546</xdr:rowOff>
    </xdr:from>
    <xdr:to>
      <xdr:col>22</xdr:col>
      <xdr:colOff>173067</xdr:colOff>
      <xdr:row>46</xdr:row>
      <xdr:rowOff>128735</xdr:rowOff>
    </xdr:to>
    <xdr:pic>
      <xdr:nvPicPr>
        <xdr:cNvPr id="3" name="Picture 2">
          <a:extLst>
            <a:ext uri="{FF2B5EF4-FFF2-40B4-BE49-F238E27FC236}">
              <a16:creationId xmlns:a16="http://schemas.microsoft.com/office/drawing/2014/main" id="{596EB0F0-17B3-48EC-8B1F-84474045576C}"/>
            </a:ext>
          </a:extLst>
        </xdr:cNvPr>
        <xdr:cNvPicPr>
          <a:picLocks noChangeAspect="1"/>
        </xdr:cNvPicPr>
      </xdr:nvPicPr>
      <xdr:blipFill>
        <a:blip xmlns:r="http://schemas.openxmlformats.org/officeDocument/2006/relationships" r:embed="rId2"/>
        <a:stretch>
          <a:fillRect/>
        </a:stretch>
      </xdr:blipFill>
      <xdr:spPr>
        <a:xfrm>
          <a:off x="8631116" y="5205046"/>
          <a:ext cx="6320355" cy="3686689"/>
        </a:xfrm>
        <a:prstGeom prst="rect">
          <a:avLst/>
        </a:prstGeom>
      </xdr:spPr>
    </xdr:pic>
    <xdr:clientData/>
  </xdr:twoCellAnchor>
  <xdr:twoCellAnchor editAs="oneCell">
    <xdr:from>
      <xdr:col>0</xdr:col>
      <xdr:colOff>0</xdr:colOff>
      <xdr:row>4</xdr:row>
      <xdr:rowOff>161925</xdr:rowOff>
    </xdr:from>
    <xdr:to>
      <xdr:col>6</xdr:col>
      <xdr:colOff>173177</xdr:colOff>
      <xdr:row>50</xdr:row>
      <xdr:rowOff>58358</xdr:rowOff>
    </xdr:to>
    <xdr:pic>
      <xdr:nvPicPr>
        <xdr:cNvPr id="4" name="Picture 3">
          <a:extLst>
            <a:ext uri="{FF2B5EF4-FFF2-40B4-BE49-F238E27FC236}">
              <a16:creationId xmlns:a16="http://schemas.microsoft.com/office/drawing/2014/main" id="{419CC42C-3FB6-4B53-8AA0-F3F2325E3058}"/>
            </a:ext>
          </a:extLst>
        </xdr:cNvPr>
        <xdr:cNvPicPr>
          <a:picLocks noChangeAspect="1"/>
        </xdr:cNvPicPr>
      </xdr:nvPicPr>
      <xdr:blipFill>
        <a:blip xmlns:r="http://schemas.openxmlformats.org/officeDocument/2006/relationships" r:embed="rId3"/>
        <a:stretch>
          <a:fillRect/>
        </a:stretch>
      </xdr:blipFill>
      <xdr:spPr>
        <a:xfrm>
          <a:off x="0" y="923925"/>
          <a:ext cx="7125694" cy="8659433"/>
        </a:xfrm>
        <a:prstGeom prst="rect">
          <a:avLst/>
        </a:prstGeom>
      </xdr:spPr>
    </xdr:pic>
    <xdr:clientData/>
  </xdr:twoCellAnchor>
  <xdr:twoCellAnchor editAs="oneCell">
    <xdr:from>
      <xdr:col>20</xdr:col>
      <xdr:colOff>352425</xdr:colOff>
      <xdr:row>11</xdr:row>
      <xdr:rowOff>47625</xdr:rowOff>
    </xdr:from>
    <xdr:to>
      <xdr:col>30</xdr:col>
      <xdr:colOff>572381</xdr:colOff>
      <xdr:row>18</xdr:row>
      <xdr:rowOff>47811</xdr:rowOff>
    </xdr:to>
    <xdr:pic>
      <xdr:nvPicPr>
        <xdr:cNvPr id="5" name="Picture 4">
          <a:extLst>
            <a:ext uri="{FF2B5EF4-FFF2-40B4-BE49-F238E27FC236}">
              <a16:creationId xmlns:a16="http://schemas.microsoft.com/office/drawing/2014/main" id="{ECBE34D5-BB94-4471-8944-B9421C3F1EC1}"/>
            </a:ext>
          </a:extLst>
        </xdr:cNvPr>
        <xdr:cNvPicPr>
          <a:picLocks noChangeAspect="1"/>
        </xdr:cNvPicPr>
      </xdr:nvPicPr>
      <xdr:blipFill>
        <a:blip xmlns:r="http://schemas.openxmlformats.org/officeDocument/2006/relationships" r:embed="rId4"/>
        <a:stretch>
          <a:fillRect/>
        </a:stretch>
      </xdr:blipFill>
      <xdr:spPr>
        <a:xfrm>
          <a:off x="12544425" y="2143125"/>
          <a:ext cx="6315956" cy="1333686"/>
        </a:xfrm>
        <a:prstGeom prst="rect">
          <a:avLst/>
        </a:prstGeom>
      </xdr:spPr>
    </xdr:pic>
    <xdr:clientData/>
  </xdr:twoCellAnchor>
  <xdr:twoCellAnchor editAs="oneCell">
    <xdr:from>
      <xdr:col>0</xdr:col>
      <xdr:colOff>38100</xdr:colOff>
      <xdr:row>50</xdr:row>
      <xdr:rowOff>114300</xdr:rowOff>
    </xdr:from>
    <xdr:to>
      <xdr:col>2</xdr:col>
      <xdr:colOff>439568</xdr:colOff>
      <xdr:row>81</xdr:row>
      <xdr:rowOff>57966</xdr:rowOff>
    </xdr:to>
    <xdr:pic>
      <xdr:nvPicPr>
        <xdr:cNvPr id="6" name="Picture 5">
          <a:extLst>
            <a:ext uri="{FF2B5EF4-FFF2-40B4-BE49-F238E27FC236}">
              <a16:creationId xmlns:a16="http://schemas.microsoft.com/office/drawing/2014/main" id="{49AA0A31-0E81-4270-949F-5BB647C98BA4}"/>
            </a:ext>
          </a:extLst>
        </xdr:cNvPr>
        <xdr:cNvPicPr>
          <a:picLocks noChangeAspect="1"/>
        </xdr:cNvPicPr>
      </xdr:nvPicPr>
      <xdr:blipFill>
        <a:blip xmlns:r="http://schemas.openxmlformats.org/officeDocument/2006/relationships" r:embed="rId5"/>
        <a:stretch>
          <a:fillRect/>
        </a:stretch>
      </xdr:blipFill>
      <xdr:spPr>
        <a:xfrm>
          <a:off x="38100" y="9639300"/>
          <a:ext cx="4915586" cy="584916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5</xdr:row>
      <xdr:rowOff>114300</xdr:rowOff>
    </xdr:from>
    <xdr:to>
      <xdr:col>13</xdr:col>
      <xdr:colOff>305864</xdr:colOff>
      <xdr:row>42</xdr:row>
      <xdr:rowOff>172442</xdr:rowOff>
    </xdr:to>
    <xdr:pic>
      <xdr:nvPicPr>
        <xdr:cNvPr id="2" name="Picture 1">
          <a:extLst>
            <a:ext uri="{FF2B5EF4-FFF2-40B4-BE49-F238E27FC236}">
              <a16:creationId xmlns:a16="http://schemas.microsoft.com/office/drawing/2014/main" id="{25E020F4-D0E8-442D-BBE9-8AF45023B27B}"/>
            </a:ext>
          </a:extLst>
        </xdr:cNvPr>
        <xdr:cNvPicPr>
          <a:picLocks noChangeAspect="1"/>
        </xdr:cNvPicPr>
      </xdr:nvPicPr>
      <xdr:blipFill>
        <a:blip xmlns:r="http://schemas.openxmlformats.org/officeDocument/2006/relationships" r:embed="rId1"/>
        <a:stretch>
          <a:fillRect/>
        </a:stretch>
      </xdr:blipFill>
      <xdr:spPr>
        <a:xfrm>
          <a:off x="609600" y="1066800"/>
          <a:ext cx="7621064" cy="7106642"/>
        </a:xfrm>
        <a:prstGeom prst="rect">
          <a:avLst/>
        </a:prstGeom>
      </xdr:spPr>
    </xdr:pic>
    <xdr:clientData/>
  </xdr:twoCellAnchor>
  <xdr:twoCellAnchor editAs="oneCell">
    <xdr:from>
      <xdr:col>13</xdr:col>
      <xdr:colOff>323850</xdr:colOff>
      <xdr:row>4</xdr:row>
      <xdr:rowOff>0</xdr:rowOff>
    </xdr:from>
    <xdr:to>
      <xdr:col>40</xdr:col>
      <xdr:colOff>259463</xdr:colOff>
      <xdr:row>44</xdr:row>
      <xdr:rowOff>105853</xdr:rowOff>
    </xdr:to>
    <xdr:pic>
      <xdr:nvPicPr>
        <xdr:cNvPr id="3" name="Picture 2">
          <a:extLst>
            <a:ext uri="{FF2B5EF4-FFF2-40B4-BE49-F238E27FC236}">
              <a16:creationId xmlns:a16="http://schemas.microsoft.com/office/drawing/2014/main" id="{EEE936E8-F812-4E8A-B7D7-174C25606649}"/>
            </a:ext>
          </a:extLst>
        </xdr:cNvPr>
        <xdr:cNvPicPr>
          <a:picLocks noChangeAspect="1"/>
        </xdr:cNvPicPr>
      </xdr:nvPicPr>
      <xdr:blipFill>
        <a:blip xmlns:r="http://schemas.openxmlformats.org/officeDocument/2006/relationships" r:embed="rId2"/>
        <a:stretch>
          <a:fillRect/>
        </a:stretch>
      </xdr:blipFill>
      <xdr:spPr>
        <a:xfrm>
          <a:off x="8248650" y="762000"/>
          <a:ext cx="16394813" cy="772585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438150</xdr:colOff>
      <xdr:row>8</xdr:row>
      <xdr:rowOff>180975</xdr:rowOff>
    </xdr:from>
    <xdr:to>
      <xdr:col>15</xdr:col>
      <xdr:colOff>352425</xdr:colOff>
      <xdr:row>43</xdr:row>
      <xdr:rowOff>59346</xdr:rowOff>
    </xdr:to>
    <xdr:pic>
      <xdr:nvPicPr>
        <xdr:cNvPr id="2" name="Picture 1">
          <a:extLst>
            <a:ext uri="{FF2B5EF4-FFF2-40B4-BE49-F238E27FC236}">
              <a16:creationId xmlns:a16="http://schemas.microsoft.com/office/drawing/2014/main" id="{FB36089E-E649-4BC6-B50D-3E4B6519CE04}"/>
            </a:ext>
          </a:extLst>
        </xdr:cNvPr>
        <xdr:cNvPicPr>
          <a:picLocks noChangeAspect="1"/>
        </xdr:cNvPicPr>
      </xdr:nvPicPr>
      <xdr:blipFill>
        <a:blip xmlns:r="http://schemas.openxmlformats.org/officeDocument/2006/relationships" r:embed="rId1"/>
        <a:stretch>
          <a:fillRect/>
        </a:stretch>
      </xdr:blipFill>
      <xdr:spPr>
        <a:xfrm>
          <a:off x="438150" y="1704975"/>
          <a:ext cx="9058275" cy="65458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457200</xdr:colOff>
      <xdr:row>5</xdr:row>
      <xdr:rowOff>38100</xdr:rowOff>
    </xdr:from>
    <xdr:to>
      <xdr:col>5</xdr:col>
      <xdr:colOff>598899</xdr:colOff>
      <xdr:row>40</xdr:row>
      <xdr:rowOff>151552</xdr:rowOff>
    </xdr:to>
    <xdr:pic>
      <xdr:nvPicPr>
        <xdr:cNvPr id="2" name="Picture 1">
          <a:extLst>
            <a:ext uri="{FF2B5EF4-FFF2-40B4-BE49-F238E27FC236}">
              <a16:creationId xmlns:a16="http://schemas.microsoft.com/office/drawing/2014/main" id="{ABE6CBF5-6C43-48CF-8AE2-FE556AC23132}"/>
            </a:ext>
          </a:extLst>
        </xdr:cNvPr>
        <xdr:cNvPicPr>
          <a:picLocks noChangeAspect="1"/>
        </xdr:cNvPicPr>
      </xdr:nvPicPr>
      <xdr:blipFill>
        <a:blip xmlns:r="http://schemas.openxmlformats.org/officeDocument/2006/relationships" r:embed="rId1"/>
        <a:stretch>
          <a:fillRect/>
        </a:stretch>
      </xdr:blipFill>
      <xdr:spPr>
        <a:xfrm>
          <a:off x="457200" y="1752600"/>
          <a:ext cx="9409524" cy="6780952"/>
        </a:xfrm>
        <a:prstGeom prst="rect">
          <a:avLst/>
        </a:prstGeom>
      </xdr:spPr>
    </xdr:pic>
    <xdr:clientData/>
  </xdr:twoCellAnchor>
  <xdr:twoCellAnchor editAs="oneCell">
    <xdr:from>
      <xdr:col>4</xdr:col>
      <xdr:colOff>561975</xdr:colOff>
      <xdr:row>11</xdr:row>
      <xdr:rowOff>95250</xdr:rowOff>
    </xdr:from>
    <xdr:to>
      <xdr:col>20</xdr:col>
      <xdr:colOff>389327</xdr:colOff>
      <xdr:row>39</xdr:row>
      <xdr:rowOff>151726</xdr:rowOff>
    </xdr:to>
    <xdr:pic>
      <xdr:nvPicPr>
        <xdr:cNvPr id="3" name="Picture 2">
          <a:extLst>
            <a:ext uri="{FF2B5EF4-FFF2-40B4-BE49-F238E27FC236}">
              <a16:creationId xmlns:a16="http://schemas.microsoft.com/office/drawing/2014/main" id="{CE38EB67-DE3F-4E06-BC58-24A361ABFE98}"/>
            </a:ext>
          </a:extLst>
        </xdr:cNvPr>
        <xdr:cNvPicPr>
          <a:picLocks noChangeAspect="1"/>
        </xdr:cNvPicPr>
      </xdr:nvPicPr>
      <xdr:blipFill>
        <a:blip xmlns:r="http://schemas.openxmlformats.org/officeDocument/2006/relationships" r:embed="rId2"/>
        <a:stretch>
          <a:fillRect/>
        </a:stretch>
      </xdr:blipFill>
      <xdr:spPr>
        <a:xfrm>
          <a:off x="9220200" y="2952750"/>
          <a:ext cx="9580952" cy="5390476"/>
        </a:xfrm>
        <a:prstGeom prst="rect">
          <a:avLst/>
        </a:prstGeom>
      </xdr:spPr>
    </xdr:pic>
    <xdr:clientData/>
  </xdr:twoCellAnchor>
  <xdr:twoCellAnchor editAs="oneCell">
    <xdr:from>
      <xdr:col>1</xdr:col>
      <xdr:colOff>0</xdr:colOff>
      <xdr:row>45</xdr:row>
      <xdr:rowOff>0</xdr:rowOff>
    </xdr:from>
    <xdr:to>
      <xdr:col>6</xdr:col>
      <xdr:colOff>477610</xdr:colOff>
      <xdr:row>80</xdr:row>
      <xdr:rowOff>96194</xdr:rowOff>
    </xdr:to>
    <xdr:pic>
      <xdr:nvPicPr>
        <xdr:cNvPr id="4" name="Picture 3">
          <a:extLst>
            <a:ext uri="{FF2B5EF4-FFF2-40B4-BE49-F238E27FC236}">
              <a16:creationId xmlns:a16="http://schemas.microsoft.com/office/drawing/2014/main" id="{3DD809E1-904E-47E4-BD7D-4481C190386F}"/>
            </a:ext>
          </a:extLst>
        </xdr:cNvPr>
        <xdr:cNvPicPr>
          <a:picLocks noChangeAspect="1"/>
        </xdr:cNvPicPr>
      </xdr:nvPicPr>
      <xdr:blipFill>
        <a:blip xmlns:r="http://schemas.openxmlformats.org/officeDocument/2006/relationships" r:embed="rId3"/>
        <a:stretch>
          <a:fillRect/>
        </a:stretch>
      </xdr:blipFill>
      <xdr:spPr>
        <a:xfrm>
          <a:off x="609600" y="9334500"/>
          <a:ext cx="9745435" cy="676369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504825</xdr:colOff>
      <xdr:row>0</xdr:row>
      <xdr:rowOff>0</xdr:rowOff>
    </xdr:from>
    <xdr:to>
      <xdr:col>21</xdr:col>
      <xdr:colOff>335138</xdr:colOff>
      <xdr:row>34</xdr:row>
      <xdr:rowOff>143799</xdr:rowOff>
    </xdr:to>
    <xdr:pic>
      <xdr:nvPicPr>
        <xdr:cNvPr id="2" name="Picture 1">
          <a:extLst>
            <a:ext uri="{FF2B5EF4-FFF2-40B4-BE49-F238E27FC236}">
              <a16:creationId xmlns:a16="http://schemas.microsoft.com/office/drawing/2014/main" id="{230C271A-260C-47E9-9809-92803424283C}"/>
            </a:ext>
          </a:extLst>
        </xdr:cNvPr>
        <xdr:cNvPicPr>
          <a:picLocks noChangeAspect="1"/>
        </xdr:cNvPicPr>
      </xdr:nvPicPr>
      <xdr:blipFill>
        <a:blip xmlns:r="http://schemas.openxmlformats.org/officeDocument/2006/relationships" r:embed="rId1"/>
        <a:stretch>
          <a:fillRect/>
        </a:stretch>
      </xdr:blipFill>
      <xdr:spPr>
        <a:xfrm>
          <a:off x="504825" y="0"/>
          <a:ext cx="12631913" cy="662079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1</xdr:col>
      <xdr:colOff>7144747</xdr:colOff>
      <xdr:row>37</xdr:row>
      <xdr:rowOff>48509</xdr:rowOff>
    </xdr:to>
    <xdr:pic>
      <xdr:nvPicPr>
        <xdr:cNvPr id="2" name="Picture 1">
          <a:extLst>
            <a:ext uri="{FF2B5EF4-FFF2-40B4-BE49-F238E27FC236}">
              <a16:creationId xmlns:a16="http://schemas.microsoft.com/office/drawing/2014/main" id="{7CEF3BB8-7E88-4A3E-8150-10C6BE4E6E4B}"/>
            </a:ext>
          </a:extLst>
        </xdr:cNvPr>
        <xdr:cNvPicPr>
          <a:picLocks noChangeAspect="1"/>
        </xdr:cNvPicPr>
      </xdr:nvPicPr>
      <xdr:blipFill>
        <a:blip xmlns:r="http://schemas.openxmlformats.org/officeDocument/2006/relationships" r:embed="rId1"/>
        <a:stretch>
          <a:fillRect/>
        </a:stretch>
      </xdr:blipFill>
      <xdr:spPr>
        <a:xfrm>
          <a:off x="609600" y="762000"/>
          <a:ext cx="7144747" cy="633500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Philip Cooney" id="{72A9E471-A880-40C9-AEFA-C1EEFDC5DAE9}" userId="be70616f08ddf8ef"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15" dT="2022-06-02T16:51:19.18" personId="{72A9E471-A880-40C9-AEFA-C1EEFDC5DAE9}" id="{B8EDECCE-33EE-4162-9C85-E0375388496E}">
    <text>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ext>
  </threadedComment>
</ThreadedComments>
</file>

<file path=xl/threadedComments/threadedComment2.xml><?xml version="1.0" encoding="utf-8"?>
<ThreadedComments xmlns="http://schemas.microsoft.com/office/spreadsheetml/2018/threadedcomments" xmlns:x="http://schemas.openxmlformats.org/spreadsheetml/2006/main">
  <threadedComment ref="E6" dT="2022-05-24T14:10:55.54" personId="{72A9E471-A880-40C9-AEFA-C1EEFDC5DAE9}" id="{0E1A3B40-544B-47CD-8DA6-9C8FE31CE2A4}">
    <text>Actually, 340 days based on plot</text>
  </threadedComment>
</ThreadedComments>
</file>

<file path=xl/threadedComments/threadedComment3.xml><?xml version="1.0" encoding="utf-8"?>
<ThreadedComments xmlns="http://schemas.microsoft.com/office/spreadsheetml/2018/threadedcomments" xmlns:x="http://schemas.openxmlformats.org/spreadsheetml/2006/main">
  <threadedComment ref="G8" dT="2022-05-24T14:10:55.54" personId="{72A9E471-A880-40C9-AEFA-C1EEFDC5DAE9}" id="{9AE5F425-BD13-4020-BBD7-F324D83EE4C9}">
    <text>Actually, 340 days based on plot</text>
  </threadedComment>
  <threadedComment ref="K8" dT="2022-05-24T14:10:55.54" personId="{72A9E471-A880-40C9-AEFA-C1EEFDC5DAE9}" id="{BCFFD236-6C56-4F0E-A159-F9BF43E4FC05}">
    <text>Actually, 340 days based on plot</text>
  </threadedComment>
  <threadedComment ref="G9" dT="2022-05-24T14:10:55.54" personId="{72A9E471-A880-40C9-AEFA-C1EEFDC5DAE9}" id="{3B023599-6D32-4C8C-B746-3FEDCB5D7866}">
    <text>Actually, 340 days based on plot</text>
  </threadedComment>
</ThreadedComments>
</file>

<file path=xl/threadedComments/threadedComment4.xml><?xml version="1.0" encoding="utf-8"?>
<ThreadedComments xmlns="http://schemas.microsoft.com/office/spreadsheetml/2018/threadedcomments" xmlns:x="http://schemas.openxmlformats.org/spreadsheetml/2006/main">
  <threadedComment ref="G8" dT="2022-05-24T14:10:55.54" personId="{72A9E471-A880-40C9-AEFA-C1EEFDC5DAE9}" id="{B8471078-AB66-4E24-94CC-EC811BB968DF}">
    <text>Actually, 340 days based on plot</text>
  </threadedComment>
  <threadedComment ref="K8" dT="2022-05-24T14:10:55.54" personId="{72A9E471-A880-40C9-AEFA-C1EEFDC5DAE9}" id="{FC15CF1A-4BCA-480D-A6E7-50DDB8320A0A}">
    <text>Actually, 340 days based on plot</text>
  </threadedComment>
  <threadedComment ref="G9" dT="2022-05-24T14:10:55.54" personId="{72A9E471-A880-40C9-AEFA-C1EEFDC5DAE9}" id="{7332DEE2-F0C7-4639-9749-52D041D7E816}">
    <text>Actually, 340 days based on plot</text>
  </threadedComment>
</ThreadedComments>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w.nice.org.uk/guidance/ta428/documents/committee-papers-3" TargetMode="External"/><Relationship Id="rId7" Type="http://schemas.openxmlformats.org/officeDocument/2006/relationships/printerSettings" Target="../printerSettings/printerSettings1.bin"/><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4" Type="http://schemas.openxmlformats.org/officeDocument/2006/relationships/hyperlink" Target="https://www.nice.org.uk/guidance/ta650/documents/1-2"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www.nice.org.uk/guidance/ta347"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https://www.nice.org.uk/guidance/ta366/documents/committee-papers"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hyperlink" Target="https://www.nice.org.uk/guidance/ta374/documents/final-appraisal-determination-document-2" TargetMode="Externa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hyperlink" Target="https://www.nice.org.uk/guidance/ta384/documents/committee-papers" TargetMode="External"/><Relationship Id="rId1" Type="http://schemas.openxmlformats.org/officeDocument/2006/relationships/hyperlink" Target="https://www.nice.org.uk/guidance/ta384/documents/final-appraisal-determination-document"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hyperlink" Target="https://www.nice.org.uk/guidance/ta396/documents/committee-papers" TargetMode="Externa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hyperlink" Target="https://www.nice.org.uk/guidance/ta400/documents/committee-papers-2"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hyperlink" Target="https://www.nice.org.uk/guidance/ta414/documents/committee-papers" TargetMode="Externa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hyperlink" Target="https://www.nice.org.uk/guidance/ta417/documents/committee-papers-4"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18" Type="http://schemas.openxmlformats.org/officeDocument/2006/relationships/vmlDrawing" Target="../drawings/vmlDrawing1.vm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66/documents/final-appraisal-determination-document" TargetMode="External"/><Relationship Id="rId17" Type="http://schemas.openxmlformats.org/officeDocument/2006/relationships/drawing" Target="../drawings/drawing2.xm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6" Type="http://schemas.openxmlformats.org/officeDocument/2006/relationships/printerSettings" Target="../printerSettings/printerSettings2.bin"/><Relationship Id="rId20" Type="http://schemas.microsoft.com/office/2017/10/relationships/threadedComment" Target="../threadedComments/threadedComment1.xml"/><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5" Type="http://schemas.openxmlformats.org/officeDocument/2006/relationships/hyperlink" Target="https://www.nice.org.uk/guidance/ta319/documents/evaluation-report2" TargetMode="External"/><Relationship Id="rId10" Type="http://schemas.openxmlformats.org/officeDocument/2006/relationships/hyperlink" Target="https://www.nice.org.uk/guidance/ta650/documents/1" TargetMode="External"/><Relationship Id="rId19" Type="http://schemas.openxmlformats.org/officeDocument/2006/relationships/comments" Target="../comments1.xm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hyperlink" Target="https://www.nice.org.uk/guidance/ta268/documents/melanoma-stage-iii-or-iv-ipilimumab-evidence-review-group-report3" TargetMode="Externa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hyperlink" Target="https://www.nice.org.uk/guidance/ta428/documents/committee-papers-3" TargetMode="External"/><Relationship Id="rId1" Type="http://schemas.openxmlformats.org/officeDocument/2006/relationships/hyperlink" Target="https://www.nice.org.uk/guidance/ta428/documents/committee-papers"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18.xml"/><Relationship Id="rId2" Type="http://schemas.openxmlformats.org/officeDocument/2006/relationships/hyperlink" Target="https://www.nice.org.uk/guidance/ta476/documents/committee-papers" TargetMode="External"/><Relationship Id="rId1" Type="http://schemas.openxmlformats.org/officeDocument/2006/relationships/hyperlink" Target="https://www.nice.org.uk/guidance/ta476/documents/1" TargetMode="External"/></Relationships>
</file>

<file path=xl/worksheets/_rels/sheet22.xml.rels><?xml version="1.0" encoding="UTF-8" standalone="yes"?>
<Relationships xmlns="http://schemas.openxmlformats.org/package/2006/relationships"><Relationship Id="rId3" Type="http://schemas.openxmlformats.org/officeDocument/2006/relationships/drawing" Target="../drawings/drawing19.xml"/><Relationship Id="rId2" Type="http://schemas.openxmlformats.org/officeDocument/2006/relationships/hyperlink" Target="https://www.nice.org.uk/guidance/ta531/documents/committee-papers-3" TargetMode="External"/><Relationship Id="rId1" Type="http://schemas.openxmlformats.org/officeDocument/2006/relationships/hyperlink" Target="https://www.nice.org.uk/guidance/ta531/evidence/committee-papers-pdf-4909657501" TargetMode="External"/></Relationships>
</file>

<file path=xl/worksheets/_rels/sheet23.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hyperlink" Target="https://www.nice.org.uk/guidance/ta650/documents/1" TargetMode="External"/><Relationship Id="rId1" Type="http://schemas.openxmlformats.org/officeDocument/2006/relationships/hyperlink" Target="https://www.nice.org.uk/guidance/ta650/documents/1-2" TargetMode="Externa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84/documents/final-appraisal-determination-document" TargetMode="Externa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www.nejm.org/doi/pdf/10.1056/NEJMoa1904059?articleTools=true" TargetMode="External"/><Relationship Id="rId3" Type="http://schemas.openxmlformats.org/officeDocument/2006/relationships/hyperlink" Target="https://www.nice.org.uk/guidance/ta428/documents/committee-papers-3" TargetMode="External"/><Relationship Id="rId7" Type="http://schemas.openxmlformats.org/officeDocument/2006/relationships/hyperlink" Target="https://pubmed.ncbi.nlm.nih.gov/28961848/" TargetMode="External"/><Relationship Id="rId12" Type="http://schemas.microsoft.com/office/2017/10/relationships/threadedComment" Target="../threadedComments/threadedComment2.xm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11" Type="http://schemas.openxmlformats.org/officeDocument/2006/relationships/comments" Target="../comments2.xml"/><Relationship Id="rId5" Type="http://schemas.openxmlformats.org/officeDocument/2006/relationships/hyperlink" Target="https://www.nice.org.uk/guidance/ta650/documents/1" TargetMode="External"/><Relationship Id="rId10" Type="http://schemas.openxmlformats.org/officeDocument/2006/relationships/vmlDrawing" Target="../drawings/vmlDrawing2.vml"/><Relationship Id="rId4" Type="http://schemas.openxmlformats.org/officeDocument/2006/relationships/hyperlink" Target="https://www.nice.org.uk/guidance/ta650/documents/1-2" TargetMode="External"/><Relationship Id="rId9" Type="http://schemas.openxmlformats.org/officeDocument/2006/relationships/hyperlink" Target="https://www.jto.org/action/showPdf?pii=S1556-0864%2821%2902172-9"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12" Type="http://schemas.microsoft.com/office/2017/10/relationships/threadedComment" Target="../threadedComments/threadedComment3.xm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11" Type="http://schemas.openxmlformats.org/officeDocument/2006/relationships/comments" Target="../comments3.xml"/><Relationship Id="rId5" Type="http://schemas.openxmlformats.org/officeDocument/2006/relationships/hyperlink" Target="https://www.nice.org.uk/guidance/ta268/documents/melanoma-stage-iii-or-iv-ipilimumab-manufacturers-submission-bristol-myerssquibb2" TargetMode="External"/><Relationship Id="rId10" Type="http://schemas.openxmlformats.org/officeDocument/2006/relationships/vmlDrawing" Target="../drawings/vmlDrawing3.vm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12" Type="http://schemas.microsoft.com/office/2017/10/relationships/threadedComment" Target="../threadedComments/threadedComment4.xm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11" Type="http://schemas.openxmlformats.org/officeDocument/2006/relationships/comments" Target="../comments4.xml"/><Relationship Id="rId5" Type="http://schemas.openxmlformats.org/officeDocument/2006/relationships/hyperlink" Target="https://www.nice.org.uk/guidance/ta268/documents/melanoma-stage-iii-or-iv-ipilimumab-manufacturers-submission-bristol-myerssquibb2" TargetMode="External"/><Relationship Id="rId10" Type="http://schemas.openxmlformats.org/officeDocument/2006/relationships/vmlDrawing" Target="../drawings/vmlDrawing4.vm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s://www.nice.org.uk/guidance/ta259/documents/prostate-cancer-metastatic-castration-resistant-abiraterone-following-cytoxic-therapy-manufacturers-submission2" TargetMode="External"/><Relationship Id="rId1" Type="http://schemas.openxmlformats.org/officeDocument/2006/relationships/hyperlink" Target="https://www.nice.org.uk/guidance/ta259/documents/prostate-cancer-metastatic-castration-resistant-abiraterone-following-cytoxic-therapy-evidence-review-group-report2"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www.ncbi.nlm.nih.gov/pmc/articles/PMC3549297/pdf/nihms-431916.pdf" TargetMode="External"/><Relationship Id="rId2" Type="http://schemas.openxmlformats.org/officeDocument/2006/relationships/hyperlink" Target="https://www.nice.org.uk/guidance/ta268/documents/melanoma-stage-iii-or-iv-ipilimumab-evidence-review-group-report3" TargetMode="External"/><Relationship Id="rId1" Type="http://schemas.openxmlformats.org/officeDocument/2006/relationships/hyperlink" Target="https://www.nice.org.uk/guidance/ta268/documents/melanoma-stage-iii-or-iv-ipilimumab-manufacturers-submission-bristol-myerssquibb2" TargetMode="External"/><Relationship Id="rId4"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hyperlink" Target="https://www.nejm.org/doi/pdf/10.1056/NEJMoa1103782?articleTools=true" TargetMode="External"/><Relationship Id="rId1" Type="http://schemas.openxmlformats.org/officeDocument/2006/relationships/hyperlink" Target="https://www.nice.org.uk/guidance/ta269/documents/melanoma-braf-v600-mutation-positive-unresectable-metastatic-vemurafenib-roche-products4"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9A22C9-C11B-45ED-ADCA-FDFAFEA379C6}">
  <sheetPr codeName="Sheet2"/>
  <dimension ref="A1:E10"/>
  <sheetViews>
    <sheetView workbookViewId="0">
      <selection activeCell="A3" sqref="A3"/>
    </sheetView>
  </sheetViews>
  <sheetFormatPr defaultRowHeight="15" x14ac:dyDescent="0.25"/>
  <cols>
    <col min="1" max="1" width="83" customWidth="1"/>
    <col min="2" max="2" width="42.28515625" customWidth="1"/>
    <col min="3" max="3" width="60.28515625" customWidth="1"/>
    <col min="4" max="4" width="42.28515625" customWidth="1"/>
    <col min="5" max="5" width="43.140625" customWidth="1"/>
  </cols>
  <sheetData>
    <row r="1" spans="1:5" x14ac:dyDescent="0.25">
      <c r="A1" t="s">
        <v>0</v>
      </c>
      <c r="B1" t="s">
        <v>2</v>
      </c>
      <c r="C1" t="s">
        <v>0</v>
      </c>
      <c r="D1" t="s">
        <v>59</v>
      </c>
      <c r="E1" t="s">
        <v>63</v>
      </c>
    </row>
    <row r="2" spans="1:5" ht="60" x14ac:dyDescent="0.25">
      <c r="A2" s="9" t="s">
        <v>31</v>
      </c>
      <c r="B2" s="14" t="s">
        <v>14</v>
      </c>
      <c r="C2" s="11" t="s">
        <v>15</v>
      </c>
      <c r="D2" s="10" t="s">
        <v>62</v>
      </c>
      <c r="E2" s="13"/>
    </row>
    <row r="3" spans="1:5" ht="45" x14ac:dyDescent="0.25">
      <c r="A3" s="9" t="s">
        <v>18</v>
      </c>
      <c r="B3" s="10" t="s">
        <v>65</v>
      </c>
      <c r="C3" s="10" t="s">
        <v>29</v>
      </c>
      <c r="D3" s="10" t="s">
        <v>62</v>
      </c>
      <c r="E3" s="13"/>
    </row>
    <row r="4" spans="1:5" ht="60" x14ac:dyDescent="0.25">
      <c r="A4" s="89" t="s">
        <v>22</v>
      </c>
      <c r="B4" s="3" t="s">
        <v>21</v>
      </c>
      <c r="C4" s="4" t="s">
        <v>19</v>
      </c>
      <c r="D4" s="85" t="s">
        <v>62</v>
      </c>
      <c r="E4" s="16" t="s">
        <v>66</v>
      </c>
    </row>
    <row r="5" spans="1:5" x14ac:dyDescent="0.25">
      <c r="A5" s="90"/>
      <c r="B5" s="6"/>
      <c r="C5" s="7" t="s">
        <v>20</v>
      </c>
      <c r="D5" s="86"/>
      <c r="E5" s="8"/>
    </row>
    <row r="6" spans="1:5" ht="60" x14ac:dyDescent="0.25">
      <c r="A6" s="15" t="s">
        <v>41</v>
      </c>
      <c r="B6" s="3" t="s">
        <v>33</v>
      </c>
      <c r="C6" s="3" t="s">
        <v>34</v>
      </c>
      <c r="D6" s="85" t="s">
        <v>62</v>
      </c>
      <c r="E6" s="5"/>
    </row>
    <row r="7" spans="1:5" x14ac:dyDescent="0.25">
      <c r="A7" s="17"/>
      <c r="B7" s="7" t="s">
        <v>36</v>
      </c>
      <c r="C7" s="6" t="s">
        <v>35</v>
      </c>
      <c r="D7" s="86"/>
      <c r="E7" s="8"/>
    </row>
    <row r="8" spans="1:5" ht="75" x14ac:dyDescent="0.25">
      <c r="A8" s="9" t="s">
        <v>42</v>
      </c>
      <c r="B8" s="10" t="s">
        <v>43</v>
      </c>
      <c r="C8" s="10"/>
      <c r="D8" s="19" t="s">
        <v>68</v>
      </c>
      <c r="E8" s="13"/>
    </row>
    <row r="9" spans="1:5" x14ac:dyDescent="0.25">
      <c r="A9" t="s">
        <v>69</v>
      </c>
      <c r="B9" s="4" t="s">
        <v>26</v>
      </c>
      <c r="C9" s="4" t="s">
        <v>24</v>
      </c>
      <c r="D9" s="87" t="s">
        <v>62</v>
      </c>
      <c r="E9" s="5" t="s">
        <v>25</v>
      </c>
    </row>
    <row r="10" spans="1:5" x14ac:dyDescent="0.25">
      <c r="A10" s="17"/>
      <c r="B10" s="6"/>
      <c r="C10" s="7" t="s">
        <v>27</v>
      </c>
      <c r="D10" s="88"/>
      <c r="E10" s="8"/>
    </row>
  </sheetData>
  <autoFilter ref="A1:E10" xr:uid="{7846EDEE-EA29-40F8-988C-C7A1A34FE826}"/>
  <mergeCells count="4">
    <mergeCell ref="D6:D7"/>
    <mergeCell ref="D9:D10"/>
    <mergeCell ref="A4:A5"/>
    <mergeCell ref="D4:D5"/>
  </mergeCells>
  <hyperlinks>
    <hyperlink ref="C2" r:id="rId1" display="https://www.nice.org.uk/guidance/ta396/documents/committee-papers" xr:uid="{1E8F2FFA-575D-40BE-ABB9-B206FBAEB23D}"/>
    <hyperlink ref="C4" r:id="rId2" xr:uid="{136FD13B-8BA3-4EEF-A520-6DB9E55421E6}"/>
    <hyperlink ref="C5" r:id="rId3" xr:uid="{E1A88D6B-867E-42D5-BC1D-8C87CD8F8C28}"/>
    <hyperlink ref="C9" r:id="rId4" display="https://www.nice.org.uk/guidance/ta650/documents/1-2" xr:uid="{3F0C5DEC-5D7A-4F6F-ABBB-BD25C3B1F970}"/>
    <hyperlink ref="C10" r:id="rId5" display="https://www.nice.org.uk/guidance/ta650/documents/1" xr:uid="{4936C2A5-F963-4CA0-B80A-1436B316C13F}"/>
    <hyperlink ref="B7" r:id="rId6" xr:uid="{CE941E7A-B793-4F41-A6FB-6BC8925962F2}"/>
  </hyperlinks>
  <pageMargins left="0.7" right="0.7" top="0.75" bottom="0.75" header="0.3" footer="0.3"/>
  <pageSetup paperSize="9" orientation="portrait" r:id="rId7"/>
  <drawing r:id="rId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19B713-0792-4B31-A7B4-214F17967AEE}">
  <sheetPr>
    <tabColor rgb="FF00B050"/>
  </sheetPr>
  <dimension ref="B2:E45"/>
  <sheetViews>
    <sheetView topLeftCell="A34" workbookViewId="0">
      <selection activeCell="B46" sqref="B46"/>
    </sheetView>
  </sheetViews>
  <sheetFormatPr defaultRowHeight="15" x14ac:dyDescent="0.25"/>
  <cols>
    <col min="2" max="2" width="102.42578125" customWidth="1"/>
  </cols>
  <sheetData>
    <row r="2" spans="2:5" ht="75" x14ac:dyDescent="0.25">
      <c r="B2" s="14" t="s">
        <v>172</v>
      </c>
    </row>
    <row r="3" spans="2:5" x14ac:dyDescent="0.25">
      <c r="B3" s="84" t="s">
        <v>171</v>
      </c>
    </row>
    <row r="5" spans="2:5" x14ac:dyDescent="0.25">
      <c r="D5">
        <f>375/365.25</f>
        <v>1.0266940451745379</v>
      </c>
      <c r="E5">
        <f>D5*12</f>
        <v>12.320328542094455</v>
      </c>
    </row>
    <row r="44" spans="2:2" x14ac:dyDescent="0.25">
      <c r="B44">
        <f>365.25/12</f>
        <v>30.4375</v>
      </c>
    </row>
    <row r="45" spans="2:2" x14ac:dyDescent="0.25">
      <c r="B45">
        <f>B44*36</f>
        <v>1095.75</v>
      </c>
    </row>
  </sheetData>
  <hyperlinks>
    <hyperlink ref="B3" r:id="rId1" xr:uid="{238F4253-F88A-4B25-8CD8-E4DFEB76D031}"/>
  </hyperlinks>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2067CB-C399-4290-85A1-9878882C7058}">
  <dimension ref="A1"/>
  <sheetViews>
    <sheetView workbookViewId="0">
      <selection activeCell="C4" sqref="C4"/>
    </sheetView>
  </sheetViews>
  <sheetFormatPr defaultRowHeight="15" x14ac:dyDescent="0.2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AF16F-7E8A-4E1B-B73D-BCDE429988DC}">
  <dimension ref="B2:C2"/>
  <sheetViews>
    <sheetView workbookViewId="0">
      <selection activeCell="C1" sqref="C1:E1048576"/>
    </sheetView>
  </sheetViews>
  <sheetFormatPr defaultRowHeight="15" x14ac:dyDescent="0.25"/>
  <cols>
    <col min="2" max="2" width="140.140625" customWidth="1"/>
  </cols>
  <sheetData>
    <row r="2" spans="2:3" x14ac:dyDescent="0.25">
      <c r="B2" s="10" t="s">
        <v>45</v>
      </c>
      <c r="C2" s="10" t="s">
        <v>46</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1EDC31-7D78-47DD-84BC-7B53B0DA8EDC}">
  <dimension ref="B2:D2"/>
  <sheetViews>
    <sheetView topLeftCell="A10" workbookViewId="0">
      <selection activeCell="K4" sqref="K4"/>
    </sheetView>
  </sheetViews>
  <sheetFormatPr defaultRowHeight="15" x14ac:dyDescent="0.25"/>
  <cols>
    <col min="2" max="2" width="40.85546875" customWidth="1"/>
  </cols>
  <sheetData>
    <row r="2" spans="2:4" x14ac:dyDescent="0.25">
      <c r="B2" s="11" t="s">
        <v>181</v>
      </c>
      <c r="C2" s="19" t="s">
        <v>60</v>
      </c>
      <c r="D2" t="s">
        <v>180</v>
      </c>
    </row>
  </sheetData>
  <hyperlinks>
    <hyperlink ref="B2" r:id="rId1" xr:uid="{EC01F8B0-63F1-4196-B99C-0BB7ADF65930}"/>
  </hyperlinks>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FF1A6-626B-4B23-BC5F-DE9C64031946}">
  <dimension ref="B2:B23"/>
  <sheetViews>
    <sheetView workbookViewId="0">
      <selection activeCell="B24" sqref="B24"/>
    </sheetView>
  </sheetViews>
  <sheetFormatPr defaultRowHeight="15" x14ac:dyDescent="0.25"/>
  <cols>
    <col min="2" max="2" width="56.7109375" customWidth="1"/>
  </cols>
  <sheetData>
    <row r="2" spans="2:2" x14ac:dyDescent="0.25">
      <c r="B2" s="1" t="s">
        <v>183</v>
      </c>
    </row>
    <row r="23" spans="2:2" x14ac:dyDescent="0.25">
      <c r="B23" t="s">
        <v>184</v>
      </c>
    </row>
  </sheetData>
  <hyperlinks>
    <hyperlink ref="B2" r:id="rId1" display="https://www.nice.org.uk/guidance/ta374/documents/final-appraisal-determination-document-2" xr:uid="{BA60F985-B45A-43D1-9EEA-242F5199DF2C}"/>
  </hyperlinks>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8531F-7445-4BCA-BA1E-DF35A594608E}">
  <dimension ref="B3:C4"/>
  <sheetViews>
    <sheetView workbookViewId="0">
      <selection activeCell="G12" sqref="G12"/>
    </sheetView>
  </sheetViews>
  <sheetFormatPr defaultRowHeight="15" x14ac:dyDescent="0.25"/>
  <cols>
    <col min="2" max="2" width="105.28515625" customWidth="1"/>
  </cols>
  <sheetData>
    <row r="3" spans="2:3" ht="60" x14ac:dyDescent="0.25">
      <c r="B3" s="14" t="s">
        <v>47</v>
      </c>
      <c r="C3" s="11" t="s">
        <v>48</v>
      </c>
    </row>
    <row r="4" spans="2:3" ht="75" x14ac:dyDescent="0.25">
      <c r="B4" s="14" t="s">
        <v>50</v>
      </c>
      <c r="C4" s="11" t="s">
        <v>51</v>
      </c>
    </row>
  </sheetData>
  <hyperlinks>
    <hyperlink ref="C3" r:id="rId1" xr:uid="{1C8A1653-6E89-4AD7-A336-11D23556B5C6}"/>
    <hyperlink ref="C4" r:id="rId2" xr:uid="{11DB6CFF-D911-4653-B562-A2312C6CE13E}"/>
  </hyperlinks>
  <pageMargins left="0.7" right="0.7" top="0.75" bottom="0.75" header="0.3" footer="0.3"/>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628E13-8A29-45CA-BB81-D83615A30605}">
  <sheetPr>
    <tabColor rgb="FF00B050"/>
  </sheetPr>
  <dimension ref="B2:C2"/>
  <sheetViews>
    <sheetView workbookViewId="0">
      <selection activeCell="D44" sqref="D44"/>
    </sheetView>
  </sheetViews>
  <sheetFormatPr defaultRowHeight="15" x14ac:dyDescent="0.25"/>
  <cols>
    <col min="2" max="2" width="27.28515625" customWidth="1"/>
    <col min="3" max="3" width="56.85546875" customWidth="1"/>
  </cols>
  <sheetData>
    <row r="2" spans="2:3" ht="30" x14ac:dyDescent="0.25">
      <c r="B2" s="14" t="s">
        <v>14</v>
      </c>
      <c r="C2" s="11" t="s">
        <v>15</v>
      </c>
    </row>
  </sheetData>
  <hyperlinks>
    <hyperlink ref="C2" r:id="rId1" display="https://www.nice.org.uk/guidance/ta396/documents/committee-papers" xr:uid="{05D1EEA7-273E-4E5A-84CE-9875F7A96422}"/>
  </hyperlinks>
  <pageMargins left="0.7" right="0.7" top="0.75" bottom="0.75" header="0.3" footer="0.3"/>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9E846-E75D-44C9-99E5-788D50C75F22}">
  <dimension ref="C3:D3"/>
  <sheetViews>
    <sheetView workbookViewId="0">
      <selection activeCell="C9" sqref="C9"/>
    </sheetView>
  </sheetViews>
  <sheetFormatPr defaultRowHeight="15" x14ac:dyDescent="0.25"/>
  <cols>
    <col min="3" max="3" width="227.5703125" customWidth="1"/>
  </cols>
  <sheetData>
    <row r="3" spans="3:4" x14ac:dyDescent="0.25">
      <c r="C3" s="10" t="s">
        <v>53</v>
      </c>
      <c r="D3" s="11" t="s">
        <v>54</v>
      </c>
    </row>
  </sheetData>
  <hyperlinks>
    <hyperlink ref="D3" r:id="rId1" xr:uid="{88187D83-1566-4FD1-AFD2-BD1F243900D7}"/>
  </hyperlinks>
  <pageMargins left="0.7" right="0.7" top="0.75" bottom="0.75" header="0.3" footer="0.3"/>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4BB30-FEB9-482B-90B6-2463F37FA46A}">
  <dimension ref="B2:E3"/>
  <sheetViews>
    <sheetView workbookViewId="0">
      <selection activeCell="B5" sqref="B5"/>
    </sheetView>
  </sheetViews>
  <sheetFormatPr defaultRowHeight="15" x14ac:dyDescent="0.25"/>
  <sheetData>
    <row r="2" spans="2:5" x14ac:dyDescent="0.25">
      <c r="B2" s="1" t="s">
        <v>15</v>
      </c>
      <c r="E2">
        <v>204</v>
      </c>
    </row>
    <row r="3" spans="2:5" x14ac:dyDescent="0.25">
      <c r="B3" t="s">
        <v>182</v>
      </c>
    </row>
  </sheetData>
  <hyperlinks>
    <hyperlink ref="B2" r:id="rId1" display="https://www.nice.org.uk/guidance/ta414/documents/committee-papers" xr:uid="{24F6F53C-2F6C-49F8-86B8-B21AC5265EF4}"/>
  </hyperlinks>
  <pageMargins left="0.7" right="0.7" top="0.75" bottom="0.75" header="0.3" footer="0.3"/>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7B687E-60DB-4B28-9A6E-2DCDC8297835}">
  <dimension ref="C3:D3"/>
  <sheetViews>
    <sheetView workbookViewId="0">
      <selection activeCell="K38" sqref="K38"/>
    </sheetView>
  </sheetViews>
  <sheetFormatPr defaultRowHeight="15" x14ac:dyDescent="0.25"/>
  <cols>
    <col min="3" max="3" width="40.140625" customWidth="1"/>
  </cols>
  <sheetData>
    <row r="3" spans="3:4" x14ac:dyDescent="0.25">
      <c r="C3" s="10" t="s">
        <v>173</v>
      </c>
      <c r="D3" s="11" t="s">
        <v>56</v>
      </c>
    </row>
  </sheetData>
  <hyperlinks>
    <hyperlink ref="D3" r:id="rId1" xr:uid="{528ABE10-98E4-4C3F-B136-EBEBE15A2FF6}"/>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6EDEE-EA29-40F8-988C-C7A1A34FE826}">
  <sheetPr codeName="Sheet1"/>
  <dimension ref="A1:E22"/>
  <sheetViews>
    <sheetView topLeftCell="A19" workbookViewId="0">
      <selection activeCell="A21" sqref="A21:D22"/>
    </sheetView>
  </sheetViews>
  <sheetFormatPr defaultRowHeight="15" x14ac:dyDescent="0.25"/>
  <cols>
    <col min="1" max="1" width="83" customWidth="1"/>
    <col min="2" max="2" width="42.28515625" customWidth="1"/>
    <col min="3" max="3" width="60.28515625" customWidth="1"/>
    <col min="4" max="4" width="42.28515625" customWidth="1"/>
    <col min="5" max="5" width="43.140625" customWidth="1"/>
  </cols>
  <sheetData>
    <row r="1" spans="1:5" x14ac:dyDescent="0.25">
      <c r="A1" t="s">
        <v>0</v>
      </c>
      <c r="B1" t="s">
        <v>2</v>
      </c>
      <c r="C1" t="s">
        <v>0</v>
      </c>
      <c r="D1" t="s">
        <v>59</v>
      </c>
      <c r="E1" t="s">
        <v>63</v>
      </c>
    </row>
    <row r="2" spans="1:5" x14ac:dyDescent="0.25">
      <c r="A2" s="91" t="s">
        <v>4</v>
      </c>
      <c r="B2" s="3" t="s">
        <v>3</v>
      </c>
      <c r="C2" s="4" t="s">
        <v>1</v>
      </c>
      <c r="D2" s="85" t="s">
        <v>60</v>
      </c>
      <c r="E2" s="5"/>
    </row>
    <row r="3" spans="1:5" x14ac:dyDescent="0.25">
      <c r="A3" s="92"/>
      <c r="B3" s="6" t="s">
        <v>9</v>
      </c>
      <c r="C3" s="7" t="s">
        <v>8</v>
      </c>
      <c r="D3" s="86"/>
      <c r="E3" s="8"/>
    </row>
    <row r="4" spans="1:5" ht="75" x14ac:dyDescent="0.25">
      <c r="A4" s="9" t="s">
        <v>7</v>
      </c>
      <c r="B4" s="10" t="s">
        <v>64</v>
      </c>
      <c r="C4" s="11" t="s">
        <v>5</v>
      </c>
      <c r="D4" s="12" t="s">
        <v>60</v>
      </c>
      <c r="E4" s="13"/>
    </row>
    <row r="5" spans="1:5" ht="90" customHeight="1" x14ac:dyDescent="0.25">
      <c r="A5" s="93" t="s">
        <v>12</v>
      </c>
      <c r="B5" s="95" t="s">
        <v>61</v>
      </c>
      <c r="C5" s="4" t="s">
        <v>11</v>
      </c>
      <c r="D5" s="85" t="s">
        <v>60</v>
      </c>
      <c r="E5" s="5"/>
    </row>
    <row r="6" spans="1:5" x14ac:dyDescent="0.25">
      <c r="A6" s="94"/>
      <c r="B6" s="96"/>
      <c r="C6" s="7" t="s">
        <v>10</v>
      </c>
      <c r="D6" s="86"/>
      <c r="E6" s="8"/>
    </row>
    <row r="7" spans="1:5" ht="60" x14ac:dyDescent="0.25">
      <c r="A7" s="9" t="s">
        <v>31</v>
      </c>
      <c r="B7" s="14" t="s">
        <v>14</v>
      </c>
      <c r="C7" s="11" t="s">
        <v>15</v>
      </c>
      <c r="D7" s="10" t="s">
        <v>62</v>
      </c>
      <c r="E7" s="13"/>
    </row>
    <row r="8" spans="1:5" ht="30" x14ac:dyDescent="0.25">
      <c r="A8" s="9" t="s">
        <v>16</v>
      </c>
      <c r="B8" s="10" t="s">
        <v>32</v>
      </c>
      <c r="C8" s="10"/>
      <c r="D8" s="10" t="s">
        <v>60</v>
      </c>
      <c r="E8" s="13"/>
    </row>
    <row r="9" spans="1:5" ht="45" x14ac:dyDescent="0.25">
      <c r="A9" s="9" t="s">
        <v>18</v>
      </c>
      <c r="B9" s="10" t="s">
        <v>65</v>
      </c>
      <c r="C9" s="10" t="s">
        <v>29</v>
      </c>
      <c r="D9" s="10" t="s">
        <v>62</v>
      </c>
      <c r="E9" s="13"/>
    </row>
    <row r="10" spans="1:5" ht="60" x14ac:dyDescent="0.25">
      <c r="A10" s="89" t="s">
        <v>22</v>
      </c>
      <c r="B10" s="3" t="s">
        <v>21</v>
      </c>
      <c r="C10" s="4" t="s">
        <v>19</v>
      </c>
      <c r="D10" s="85" t="s">
        <v>62</v>
      </c>
      <c r="E10" s="16" t="s">
        <v>66</v>
      </c>
    </row>
    <row r="11" spans="1:5" x14ac:dyDescent="0.25">
      <c r="A11" s="90"/>
      <c r="B11" s="6"/>
      <c r="C11" s="7" t="s">
        <v>20</v>
      </c>
      <c r="D11" s="86"/>
      <c r="E11" s="8"/>
    </row>
    <row r="12" spans="1:5" ht="60" x14ac:dyDescent="0.25">
      <c r="A12" s="15" t="s">
        <v>41</v>
      </c>
      <c r="B12" s="4" t="s">
        <v>33</v>
      </c>
      <c r="C12" s="3" t="s">
        <v>34</v>
      </c>
      <c r="D12" s="85" t="s">
        <v>62</v>
      </c>
      <c r="E12" s="5"/>
    </row>
    <row r="13" spans="1:5" x14ac:dyDescent="0.25">
      <c r="A13" s="17"/>
      <c r="B13" s="7" t="s">
        <v>36</v>
      </c>
      <c r="C13" s="6" t="s">
        <v>35</v>
      </c>
      <c r="D13" s="86"/>
      <c r="E13" s="8"/>
    </row>
    <row r="14" spans="1:5" ht="75" x14ac:dyDescent="0.25">
      <c r="A14" s="9" t="s">
        <v>40</v>
      </c>
      <c r="B14" s="11" t="s">
        <v>37</v>
      </c>
      <c r="C14" s="10" t="s">
        <v>67</v>
      </c>
      <c r="D14" s="19" t="s">
        <v>60</v>
      </c>
      <c r="E14" s="13"/>
    </row>
    <row r="15" spans="1:5" ht="75" x14ac:dyDescent="0.25">
      <c r="A15" s="82" t="s">
        <v>42</v>
      </c>
      <c r="B15" s="10" t="s">
        <v>43</v>
      </c>
      <c r="C15" s="10"/>
      <c r="D15" s="19" t="s">
        <v>68</v>
      </c>
      <c r="E15" s="13"/>
    </row>
    <row r="16" spans="1:5" ht="60" x14ac:dyDescent="0.25">
      <c r="A16" s="82" t="s">
        <v>44</v>
      </c>
      <c r="B16" s="10" t="s">
        <v>45</v>
      </c>
      <c r="C16" s="10" t="s">
        <v>46</v>
      </c>
      <c r="D16" s="19" t="s">
        <v>60</v>
      </c>
      <c r="E16" s="13"/>
    </row>
    <row r="17" spans="1:5" ht="120" x14ac:dyDescent="0.25">
      <c r="A17" s="9" t="s">
        <v>49</v>
      </c>
      <c r="B17" s="14" t="s">
        <v>47</v>
      </c>
      <c r="C17" s="11" t="s">
        <v>170</v>
      </c>
      <c r="D17" s="19" t="s">
        <v>60</v>
      </c>
      <c r="E17" s="13"/>
    </row>
    <row r="18" spans="1:5" ht="105" x14ac:dyDescent="0.25">
      <c r="A18" s="9" t="s">
        <v>52</v>
      </c>
      <c r="B18" s="14" t="s">
        <v>50</v>
      </c>
      <c r="C18" s="11" t="s">
        <v>51</v>
      </c>
      <c r="D18" s="19" t="s">
        <v>60</v>
      </c>
      <c r="E18" s="13"/>
    </row>
    <row r="19" spans="1:5" ht="75" x14ac:dyDescent="0.25">
      <c r="A19" s="82" t="s">
        <v>55</v>
      </c>
      <c r="B19" s="10" t="s">
        <v>53</v>
      </c>
      <c r="C19" s="10" t="s">
        <v>54</v>
      </c>
      <c r="D19" s="19" t="s">
        <v>60</v>
      </c>
      <c r="E19" s="13"/>
    </row>
    <row r="20" spans="1:5" ht="45" x14ac:dyDescent="0.25">
      <c r="A20" s="82" t="s">
        <v>58</v>
      </c>
      <c r="B20" s="10" t="s">
        <v>57</v>
      </c>
      <c r="C20" s="10" t="s">
        <v>56</v>
      </c>
      <c r="D20" s="19" t="s">
        <v>60</v>
      </c>
      <c r="E20" s="13"/>
    </row>
    <row r="21" spans="1:5" x14ac:dyDescent="0.25">
      <c r="A21" s="83" t="s">
        <v>69</v>
      </c>
      <c r="B21" s="4" t="s">
        <v>26</v>
      </c>
      <c r="C21" s="4" t="s">
        <v>24</v>
      </c>
      <c r="D21" s="20" t="s">
        <v>62</v>
      </c>
      <c r="E21" s="5" t="s">
        <v>25</v>
      </c>
    </row>
    <row r="22" spans="1:5" x14ac:dyDescent="0.25">
      <c r="A22" s="17"/>
      <c r="B22" s="6"/>
      <c r="C22" s="7" t="s">
        <v>27</v>
      </c>
      <c r="D22" s="6"/>
      <c r="E22" s="8"/>
    </row>
  </sheetData>
  <autoFilter ref="A1:E22" xr:uid="{7846EDEE-EA29-40F8-988C-C7A1A34FE826}"/>
  <mergeCells count="8">
    <mergeCell ref="D10:D11"/>
    <mergeCell ref="D12:D13"/>
    <mergeCell ref="A10:A11"/>
    <mergeCell ref="A2:A3"/>
    <mergeCell ref="D2:D3"/>
    <mergeCell ref="A5:A6"/>
    <mergeCell ref="D5:D6"/>
    <mergeCell ref="B5:B6"/>
  </mergeCells>
  <hyperlinks>
    <hyperlink ref="C2" r:id="rId1" xr:uid="{B0852248-3175-434A-9715-0FD34334BD33}"/>
    <hyperlink ref="C4" r:id="rId2" xr:uid="{162A42F7-5EEE-4535-A305-E37920382F94}"/>
    <hyperlink ref="C3" r:id="rId3" xr:uid="{66F2B825-2D6B-45A8-B32B-A513B741FA21}"/>
    <hyperlink ref="C6" r:id="rId4" xr:uid="{A29CC1EB-A109-4EF7-99E6-C12A7FFA6013}"/>
    <hyperlink ref="C5" r:id="rId5" xr:uid="{F21F8A8B-CA9A-4853-B35D-1C672C2BB9CF}"/>
    <hyperlink ref="C7" r:id="rId6" display="https://www.nice.org.uk/guidance/ta396/documents/committee-papers" xr:uid="{CBEB62B5-B6F9-4C1B-8612-07F6046159C0}"/>
    <hyperlink ref="C10" r:id="rId7" xr:uid="{40C208DC-E010-47FD-B641-8AB70D569DF0}"/>
    <hyperlink ref="C11" r:id="rId8" xr:uid="{D43B8685-58BB-423D-BA6B-9BD7B2D1EDB6}"/>
    <hyperlink ref="C21" r:id="rId9" display="https://www.nice.org.uk/guidance/ta650/documents/1-2" xr:uid="{E61A8C76-D317-4208-9648-D342D85C4274}"/>
    <hyperlink ref="C22" r:id="rId10" display="https://www.nice.org.uk/guidance/ta650/documents/1" xr:uid="{61385202-968E-4003-956B-24002294950E}"/>
    <hyperlink ref="B13" r:id="rId11" xr:uid="{0000A93E-CC82-43CC-AD01-91637DB8B24C}"/>
    <hyperlink ref="C17" r:id="rId12" xr:uid="{7F2EAA36-ABAD-4FCF-9235-219EAC71E666}"/>
    <hyperlink ref="C18" r:id="rId13" xr:uid="{FEEF0C0F-373A-47D2-9E7B-EBFEBA16C4B2}"/>
    <hyperlink ref="B12" r:id="rId14" xr:uid="{2FD08615-98AE-4D33-A977-52064B2FDC85}"/>
    <hyperlink ref="B14" r:id="rId15" xr:uid="{B35DD193-25F9-4B2C-BCAE-B4E864C3E837}"/>
  </hyperlinks>
  <pageMargins left="0.7" right="0.7" top="0.75" bottom="0.75" header="0.3" footer="0.3"/>
  <pageSetup paperSize="9" orientation="portrait" r:id="rId16"/>
  <drawing r:id="rId17"/>
  <legacyDrawing r:id="rId18"/>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DC7E2-E732-4895-AB43-ACC4ED042769}">
  <sheetPr>
    <tabColor rgb="FF00B050"/>
  </sheetPr>
  <dimension ref="C2:D3"/>
  <sheetViews>
    <sheetView workbookViewId="0">
      <selection activeCell="E9" sqref="E9"/>
    </sheetView>
  </sheetViews>
  <sheetFormatPr defaultRowHeight="15" x14ac:dyDescent="0.25"/>
  <cols>
    <col min="3" max="5" width="61" customWidth="1"/>
  </cols>
  <sheetData>
    <row r="2" spans="3:4" x14ac:dyDescent="0.25">
      <c r="C2" s="3" t="s">
        <v>21</v>
      </c>
      <c r="D2" s="4" t="s">
        <v>19</v>
      </c>
    </row>
    <row r="3" spans="3:4" x14ac:dyDescent="0.25">
      <c r="C3" s="6"/>
      <c r="D3" s="7" t="s">
        <v>20</v>
      </c>
    </row>
  </sheetData>
  <hyperlinks>
    <hyperlink ref="D2" r:id="rId1" xr:uid="{B8EF9E75-F807-497F-83F8-767D71FCE6E3}"/>
    <hyperlink ref="D3" r:id="rId2" xr:uid="{55989C48-160B-4ADA-8F88-5CE88DBF02D9}"/>
  </hyperlinks>
  <pageMargins left="0.7" right="0.7" top="0.75" bottom="0.75" header="0.3" footer="0.3"/>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A8689C-AC12-4674-8C34-7B32D61AD4AE}">
  <dimension ref="B2:C3"/>
  <sheetViews>
    <sheetView topLeftCell="A4" workbookViewId="0">
      <selection activeCell="B4" sqref="B4"/>
    </sheetView>
  </sheetViews>
  <sheetFormatPr defaultRowHeight="15" x14ac:dyDescent="0.25"/>
  <cols>
    <col min="2" max="2" width="51" customWidth="1"/>
    <col min="3" max="3" width="68.5703125" customWidth="1"/>
  </cols>
  <sheetData>
    <row r="2" spans="2:3" x14ac:dyDescent="0.25">
      <c r="B2" s="95" t="s">
        <v>161</v>
      </c>
      <c r="C2" s="4" t="s">
        <v>11</v>
      </c>
    </row>
    <row r="3" spans="2:3" x14ac:dyDescent="0.25">
      <c r="B3" s="96"/>
      <c r="C3" s="7" t="s">
        <v>10</v>
      </c>
    </row>
  </sheetData>
  <mergeCells count="1">
    <mergeCell ref="B2:B3"/>
  </mergeCells>
  <hyperlinks>
    <hyperlink ref="C3" r:id="rId1" xr:uid="{1C175637-B4E2-451F-8619-EE65C0F00BAD}"/>
    <hyperlink ref="C2" r:id="rId2" xr:uid="{B4DECB0A-95E2-483B-978C-C43DFADD669A}"/>
  </hyperlinks>
  <pageMargins left="0.7" right="0.7" top="0.75" bottom="0.75" header="0.3" footer="0.3"/>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BC86B-3E2E-4F74-834D-142AAAD99214}">
  <dimension ref="A2:O54"/>
  <sheetViews>
    <sheetView workbookViewId="0">
      <selection activeCell="K33" sqref="K33"/>
    </sheetView>
  </sheetViews>
  <sheetFormatPr defaultRowHeight="15" x14ac:dyDescent="0.25"/>
  <cols>
    <col min="14" max="14" width="18" customWidth="1"/>
  </cols>
  <sheetData>
    <row r="2" spans="14:15" x14ac:dyDescent="0.25">
      <c r="N2" t="s">
        <v>175</v>
      </c>
      <c r="O2" s="1" t="s">
        <v>174</v>
      </c>
    </row>
    <row r="25" spans="1:2" x14ac:dyDescent="0.25">
      <c r="A25" t="s">
        <v>176</v>
      </c>
      <c r="B25" s="1" t="s">
        <v>177</v>
      </c>
    </row>
    <row r="52" spans="2:6" x14ac:dyDescent="0.25">
      <c r="B52">
        <f>(365.25/12)/7</f>
        <v>4.3482142857142856</v>
      </c>
      <c r="F52">
        <f>22*7</f>
        <v>154</v>
      </c>
    </row>
    <row r="53" spans="2:6" x14ac:dyDescent="0.25">
      <c r="B53">
        <f>22/B52</f>
        <v>5.0595482546201236</v>
      </c>
      <c r="C53">
        <f>43/B52</f>
        <v>9.8891170431211499</v>
      </c>
      <c r="F53">
        <f>F52/365.25</f>
        <v>0.42162902121834361</v>
      </c>
    </row>
    <row r="54" spans="2:6" x14ac:dyDescent="0.25">
      <c r="F54">
        <f>F53*12</f>
        <v>5.0595482546201236</v>
      </c>
    </row>
  </sheetData>
  <hyperlinks>
    <hyperlink ref="O2" r:id="rId1" display="https://www.nice.org.uk/guidance/ta531/evidence/committee-papers-pdf-4909657501" xr:uid="{A5DCD8EE-ADB9-49EB-9CCC-D2F25BBF5A72}"/>
    <hyperlink ref="B25" r:id="rId2" xr:uid="{039AC2E9-D5E6-4A07-A106-D24AB941BA2D}"/>
  </hyperlinks>
  <pageMargins left="0.7" right="0.7" top="0.75" bottom="0.75" header="0.3" footer="0.3"/>
  <drawing r:id="rId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10F70-033D-4680-9C09-8E4C2A9A797C}">
  <dimension ref="A1:D41"/>
  <sheetViews>
    <sheetView topLeftCell="A16" workbookViewId="0">
      <selection activeCell="P44" sqref="P44"/>
    </sheetView>
  </sheetViews>
  <sheetFormatPr defaultRowHeight="15" x14ac:dyDescent="0.25"/>
  <sheetData>
    <row r="1" spans="1:4" x14ac:dyDescent="0.25">
      <c r="A1" t="s">
        <v>84</v>
      </c>
    </row>
    <row r="3" spans="1:4" x14ac:dyDescent="0.25">
      <c r="A3" s="83" t="s">
        <v>69</v>
      </c>
      <c r="B3" s="4" t="s">
        <v>26</v>
      </c>
      <c r="C3" s="4" t="s">
        <v>24</v>
      </c>
      <c r="D3" s="20" t="s">
        <v>62</v>
      </c>
    </row>
    <row r="4" spans="1:4" x14ac:dyDescent="0.25">
      <c r="A4" s="17"/>
      <c r="B4" s="6"/>
      <c r="C4" s="7" t="s">
        <v>27</v>
      </c>
      <c r="D4" s="6"/>
    </row>
    <row r="39" spans="2:2" x14ac:dyDescent="0.25">
      <c r="B39">
        <f>13*7</f>
        <v>91</v>
      </c>
    </row>
    <row r="40" spans="2:2" x14ac:dyDescent="0.25">
      <c r="B40">
        <f>B39/365.25</f>
        <v>0.24914442162902123</v>
      </c>
    </row>
    <row r="41" spans="2:2" x14ac:dyDescent="0.25">
      <c r="B41">
        <f>B40*12</f>
        <v>2.9897330595482545</v>
      </c>
    </row>
  </sheetData>
  <hyperlinks>
    <hyperlink ref="C3" r:id="rId1" display="https://www.nice.org.uk/guidance/ta650/documents/1-2" xr:uid="{04436A19-EE15-4A31-B792-3A54C51C7D99}"/>
    <hyperlink ref="C4" r:id="rId2" display="https://www.nice.org.uk/guidance/ta650/documents/1" xr:uid="{B39F3D1F-B4AA-4ACD-8E23-6F1A503AF39B}"/>
  </hyperlinks>
  <pageMargins left="0.7" right="0.7" top="0.75" bottom="0.75" header="0.3" footer="0.3"/>
  <drawing r:id="rId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312E7-50F4-4E5F-9BAA-DAA13D57C764}">
  <dimension ref="A1:F46"/>
  <sheetViews>
    <sheetView tabSelected="1" topLeftCell="A10" workbookViewId="0">
      <selection activeCell="B26" sqref="B26"/>
    </sheetView>
  </sheetViews>
  <sheetFormatPr defaultRowHeight="15" x14ac:dyDescent="0.25"/>
  <cols>
    <col min="1" max="1" width="26.85546875" customWidth="1"/>
    <col min="2" max="2" width="100.7109375" customWidth="1"/>
    <col min="5" max="5" width="30.85546875" customWidth="1"/>
  </cols>
  <sheetData>
    <row r="1" spans="1:6" x14ac:dyDescent="0.25">
      <c r="A1" t="s">
        <v>225</v>
      </c>
      <c r="E1" t="s">
        <v>224</v>
      </c>
    </row>
    <row r="2" spans="1:6" ht="90" x14ac:dyDescent="0.25">
      <c r="A2">
        <v>15</v>
      </c>
      <c r="B2" s="2" t="s">
        <v>223</v>
      </c>
      <c r="C2" t="s">
        <v>222</v>
      </c>
      <c r="E2" t="s">
        <v>196</v>
      </c>
    </row>
    <row r="3" spans="1:6" ht="60" x14ac:dyDescent="0.25">
      <c r="A3">
        <v>17</v>
      </c>
      <c r="B3" s="2" t="s">
        <v>221</v>
      </c>
      <c r="C3" s="105" t="s">
        <v>82</v>
      </c>
      <c r="D3" t="s">
        <v>196</v>
      </c>
      <c r="E3" t="s">
        <v>196</v>
      </c>
    </row>
    <row r="4" spans="1:6" ht="90" x14ac:dyDescent="0.25">
      <c r="A4">
        <v>20</v>
      </c>
      <c r="B4" s="2" t="s">
        <v>220</v>
      </c>
      <c r="C4" t="s">
        <v>219</v>
      </c>
      <c r="E4" t="s">
        <v>196</v>
      </c>
    </row>
    <row r="5" spans="1:6" ht="75" x14ac:dyDescent="0.25">
      <c r="A5">
        <v>30</v>
      </c>
      <c r="B5" s="2" t="s">
        <v>218</v>
      </c>
      <c r="C5" t="s">
        <v>217</v>
      </c>
      <c r="E5" t="s">
        <v>196</v>
      </c>
    </row>
    <row r="6" spans="1:6" ht="75" x14ac:dyDescent="0.25">
      <c r="A6">
        <v>38</v>
      </c>
      <c r="B6" s="2" t="s">
        <v>216</v>
      </c>
      <c r="C6" t="s">
        <v>215</v>
      </c>
      <c r="E6" t="s">
        <v>196</v>
      </c>
    </row>
    <row r="7" spans="1:6" ht="90" x14ac:dyDescent="0.25">
      <c r="A7">
        <v>40</v>
      </c>
      <c r="B7" s="2" t="s">
        <v>214</v>
      </c>
      <c r="C7" t="s">
        <v>213</v>
      </c>
      <c r="E7" t="s">
        <v>212</v>
      </c>
      <c r="F7" t="s">
        <v>209</v>
      </c>
    </row>
    <row r="8" spans="1:6" ht="75" x14ac:dyDescent="0.25">
      <c r="A8">
        <v>41</v>
      </c>
      <c r="B8" s="2" t="s">
        <v>211</v>
      </c>
      <c r="C8" t="s">
        <v>210</v>
      </c>
      <c r="E8" t="s">
        <v>196</v>
      </c>
      <c r="F8" t="s">
        <v>209</v>
      </c>
    </row>
    <row r="9" spans="1:6" ht="75" x14ac:dyDescent="0.25">
      <c r="A9">
        <v>72</v>
      </c>
      <c r="B9" s="2" t="s">
        <v>208</v>
      </c>
      <c r="C9" t="s">
        <v>207</v>
      </c>
      <c r="E9" t="s">
        <v>206</v>
      </c>
    </row>
    <row r="10" spans="1:6" ht="60" x14ac:dyDescent="0.25">
      <c r="A10">
        <v>54</v>
      </c>
      <c r="B10" s="2" t="s">
        <v>205</v>
      </c>
      <c r="C10" s="105" t="s">
        <v>79</v>
      </c>
      <c r="E10" t="s">
        <v>196</v>
      </c>
    </row>
    <row r="11" spans="1:6" ht="75" x14ac:dyDescent="0.25">
      <c r="A11">
        <v>56</v>
      </c>
      <c r="B11" s="2" t="s">
        <v>204</v>
      </c>
      <c r="C11" t="s">
        <v>203</v>
      </c>
      <c r="E11" t="s">
        <v>196</v>
      </c>
    </row>
    <row r="12" spans="1:6" ht="75" x14ac:dyDescent="0.25">
      <c r="A12">
        <v>64</v>
      </c>
      <c r="B12" s="2" t="s">
        <v>202</v>
      </c>
      <c r="C12" t="s">
        <v>201</v>
      </c>
      <c r="F12" t="s">
        <v>200</v>
      </c>
    </row>
    <row r="13" spans="1:6" ht="60" x14ac:dyDescent="0.25">
      <c r="A13">
        <v>66</v>
      </c>
      <c r="B13" s="2" t="s">
        <v>199</v>
      </c>
      <c r="C13" t="s">
        <v>198</v>
      </c>
    </row>
    <row r="14" spans="1:6" ht="60" x14ac:dyDescent="0.25">
      <c r="A14">
        <v>68</v>
      </c>
      <c r="B14" s="2" t="s">
        <v>197</v>
      </c>
      <c r="C14" s="105" t="s">
        <v>81</v>
      </c>
      <c r="D14" t="s">
        <v>196</v>
      </c>
    </row>
    <row r="15" spans="1:6" x14ac:dyDescent="0.25">
      <c r="B15" s="2"/>
      <c r="C15" s="105"/>
    </row>
    <row r="16" spans="1:6" x14ac:dyDescent="0.25">
      <c r="B16" s="2"/>
      <c r="C16" t="s">
        <v>195</v>
      </c>
    </row>
    <row r="17" spans="1:4" x14ac:dyDescent="0.25">
      <c r="A17">
        <v>18</v>
      </c>
      <c r="B17" s="2"/>
      <c r="C17" t="s">
        <v>80</v>
      </c>
    </row>
    <row r="18" spans="1:4" x14ac:dyDescent="0.25">
      <c r="A18">
        <v>37</v>
      </c>
      <c r="B18" s="2"/>
      <c r="C18" t="s">
        <v>83</v>
      </c>
    </row>
    <row r="19" spans="1:4" x14ac:dyDescent="0.25">
      <c r="B19" s="2"/>
      <c r="C19" t="s">
        <v>194</v>
      </c>
    </row>
    <row r="20" spans="1:4" x14ac:dyDescent="0.25">
      <c r="B20" s="2"/>
      <c r="C20" s="105" t="s">
        <v>178</v>
      </c>
      <c r="D20" t="s">
        <v>193</v>
      </c>
    </row>
    <row r="21" spans="1:4" x14ac:dyDescent="0.25">
      <c r="B21" s="2"/>
    </row>
    <row r="22" spans="1:4" x14ac:dyDescent="0.25">
      <c r="B22" s="2"/>
    </row>
    <row r="23" spans="1:4" x14ac:dyDescent="0.25">
      <c r="B23" s="2"/>
    </row>
    <row r="24" spans="1:4" x14ac:dyDescent="0.25">
      <c r="B24" s="104"/>
    </row>
    <row r="25" spans="1:4" x14ac:dyDescent="0.25">
      <c r="B25" s="103"/>
    </row>
    <row r="26" spans="1:4" x14ac:dyDescent="0.25">
      <c r="B26" s="2"/>
    </row>
    <row r="27" spans="1:4" x14ac:dyDescent="0.25">
      <c r="B27" s="2"/>
    </row>
    <row r="28" spans="1:4" x14ac:dyDescent="0.25">
      <c r="B28" s="2"/>
    </row>
    <row r="29" spans="1:4" x14ac:dyDescent="0.25">
      <c r="B29" s="2"/>
    </row>
    <row r="30" spans="1:4" x14ac:dyDescent="0.25">
      <c r="B30" s="2"/>
    </row>
    <row r="31" spans="1:4" x14ac:dyDescent="0.25">
      <c r="B31" s="2"/>
    </row>
    <row r="32" spans="1:4" x14ac:dyDescent="0.25">
      <c r="B32" s="2"/>
    </row>
    <row r="33" spans="1:2" x14ac:dyDescent="0.25">
      <c r="B33" s="2"/>
    </row>
    <row r="34" spans="1:2" x14ac:dyDescent="0.25">
      <c r="B34" s="2"/>
    </row>
    <row r="36" spans="1:2" x14ac:dyDescent="0.25">
      <c r="A36">
        <f>6/59</f>
        <v>0.10169491525423729</v>
      </c>
    </row>
    <row r="39" spans="1:2" x14ac:dyDescent="0.25">
      <c r="A39" t="s">
        <v>192</v>
      </c>
    </row>
    <row r="40" spans="1:2" x14ac:dyDescent="0.25">
      <c r="A40" t="s">
        <v>191</v>
      </c>
    </row>
    <row r="41" spans="1:2" x14ac:dyDescent="0.25">
      <c r="A41" t="s">
        <v>190</v>
      </c>
    </row>
    <row r="42" spans="1:2" x14ac:dyDescent="0.25">
      <c r="A42" t="s">
        <v>189</v>
      </c>
    </row>
    <row r="43" spans="1:2" x14ac:dyDescent="0.25">
      <c r="A43" t="s">
        <v>188</v>
      </c>
      <c r="B43">
        <f>58/8</f>
        <v>7.25</v>
      </c>
    </row>
    <row r="44" spans="1:2" x14ac:dyDescent="0.25">
      <c r="A44" t="s">
        <v>187</v>
      </c>
    </row>
    <row r="45" spans="1:2" x14ac:dyDescent="0.25">
      <c r="A45" t="s">
        <v>186</v>
      </c>
    </row>
    <row r="46" spans="1:2" x14ac:dyDescent="0.25">
      <c r="A46" t="s">
        <v>185</v>
      </c>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889AA-D933-45CE-B031-631626767993}">
  <dimension ref="A1:D33"/>
  <sheetViews>
    <sheetView topLeftCell="A7" workbookViewId="0">
      <selection activeCell="A4" sqref="A4"/>
    </sheetView>
  </sheetViews>
  <sheetFormatPr defaultRowHeight="15" x14ac:dyDescent="0.25"/>
  <cols>
    <col min="1" max="1" width="84.140625" customWidth="1"/>
    <col min="2" max="2" width="33.85546875" customWidth="1"/>
  </cols>
  <sheetData>
    <row r="1" spans="1:4" x14ac:dyDescent="0.25">
      <c r="B1" t="s">
        <v>2</v>
      </c>
      <c r="C1" t="s">
        <v>0</v>
      </c>
    </row>
    <row r="2" spans="1:4" x14ac:dyDescent="0.25">
      <c r="A2" t="s">
        <v>4</v>
      </c>
      <c r="B2" t="s">
        <v>3</v>
      </c>
      <c r="C2" s="1" t="s">
        <v>1</v>
      </c>
    </row>
    <row r="3" spans="1:4" x14ac:dyDescent="0.25">
      <c r="B3" t="s">
        <v>9</v>
      </c>
      <c r="C3" s="1" t="s">
        <v>8</v>
      </c>
    </row>
    <row r="4" spans="1:4" ht="75" x14ac:dyDescent="0.25">
      <c r="A4" s="2" t="s">
        <v>7</v>
      </c>
      <c r="B4" t="s">
        <v>6</v>
      </c>
      <c r="C4" s="1" t="s">
        <v>5</v>
      </c>
    </row>
    <row r="5" spans="1:4" ht="90" x14ac:dyDescent="0.25">
      <c r="A5" s="2" t="s">
        <v>12</v>
      </c>
      <c r="B5" t="s">
        <v>13</v>
      </c>
      <c r="C5" s="1" t="s">
        <v>11</v>
      </c>
    </row>
    <row r="6" spans="1:4" x14ac:dyDescent="0.25">
      <c r="C6" s="1" t="s">
        <v>10</v>
      </c>
    </row>
    <row r="7" spans="1:4" ht="60" x14ac:dyDescent="0.25">
      <c r="A7" s="2" t="s">
        <v>31</v>
      </c>
      <c r="B7" t="s">
        <v>14</v>
      </c>
      <c r="C7" s="1" t="s">
        <v>15</v>
      </c>
    </row>
    <row r="8" spans="1:4" ht="30" x14ac:dyDescent="0.25">
      <c r="A8" s="2" t="s">
        <v>16</v>
      </c>
      <c r="B8" t="s">
        <v>32</v>
      </c>
    </row>
    <row r="9" spans="1:4" ht="45" x14ac:dyDescent="0.25">
      <c r="A9" s="2" t="s">
        <v>18</v>
      </c>
      <c r="B9" t="s">
        <v>17</v>
      </c>
      <c r="C9" t="s">
        <v>29</v>
      </c>
      <c r="D9" t="s">
        <v>30</v>
      </c>
    </row>
    <row r="10" spans="1:4" ht="45" x14ac:dyDescent="0.25">
      <c r="A10" s="2" t="s">
        <v>22</v>
      </c>
      <c r="B10" t="s">
        <v>21</v>
      </c>
      <c r="C10" s="1" t="s">
        <v>19</v>
      </c>
    </row>
    <row r="11" spans="1:4" x14ac:dyDescent="0.25">
      <c r="A11" s="2" t="s">
        <v>28</v>
      </c>
      <c r="C11" s="1" t="s">
        <v>20</v>
      </c>
    </row>
    <row r="12" spans="1:4" x14ac:dyDescent="0.25">
      <c r="B12" t="s">
        <v>23</v>
      </c>
    </row>
    <row r="13" spans="1:4" x14ac:dyDescent="0.25">
      <c r="A13" s="2" t="s">
        <v>25</v>
      </c>
      <c r="B13" s="1" t="s">
        <v>26</v>
      </c>
      <c r="C13" s="1" t="s">
        <v>24</v>
      </c>
    </row>
    <row r="14" spans="1:4" x14ac:dyDescent="0.25">
      <c r="B14" s="1" t="s">
        <v>27</v>
      </c>
    </row>
    <row r="17" spans="1:3" ht="60" x14ac:dyDescent="0.25">
      <c r="A17" s="2" t="s">
        <v>41</v>
      </c>
      <c r="B17" t="s">
        <v>33</v>
      </c>
      <c r="C17" t="s">
        <v>34</v>
      </c>
    </row>
    <row r="18" spans="1:3" x14ac:dyDescent="0.25">
      <c r="B18" s="1" t="s">
        <v>36</v>
      </c>
      <c r="C18" t="s">
        <v>35</v>
      </c>
    </row>
    <row r="20" spans="1:3" ht="75" x14ac:dyDescent="0.25">
      <c r="A20" s="2" t="s">
        <v>40</v>
      </c>
      <c r="B20" t="s">
        <v>37</v>
      </c>
      <c r="C20" t="s">
        <v>38</v>
      </c>
    </row>
    <row r="21" spans="1:3" x14ac:dyDescent="0.25">
      <c r="B21" t="s">
        <v>39</v>
      </c>
    </row>
    <row r="23" spans="1:3" ht="75" x14ac:dyDescent="0.25">
      <c r="A23" s="2" t="s">
        <v>42</v>
      </c>
      <c r="B23" t="s">
        <v>43</v>
      </c>
    </row>
    <row r="25" spans="1:3" x14ac:dyDescent="0.25">
      <c r="A25" t="s">
        <v>44</v>
      </c>
      <c r="B25" t="s">
        <v>45</v>
      </c>
      <c r="C25" t="s">
        <v>46</v>
      </c>
    </row>
    <row r="27" spans="1:3" ht="135" x14ac:dyDescent="0.25">
      <c r="A27" s="2" t="s">
        <v>49</v>
      </c>
      <c r="B27" s="2" t="s">
        <v>47</v>
      </c>
      <c r="C27" s="1" t="s">
        <v>48</v>
      </c>
    </row>
    <row r="29" spans="1:3" ht="120" x14ac:dyDescent="0.25">
      <c r="A29" s="2" t="s">
        <v>52</v>
      </c>
      <c r="B29" s="2" t="s">
        <v>50</v>
      </c>
      <c r="C29" s="1" t="s">
        <v>51</v>
      </c>
    </row>
    <row r="31" spans="1:3" ht="75" x14ac:dyDescent="0.25">
      <c r="A31" s="2" t="s">
        <v>55</v>
      </c>
      <c r="B31" t="s">
        <v>53</v>
      </c>
      <c r="C31" t="s">
        <v>54</v>
      </c>
    </row>
    <row r="33" spans="1:3" ht="45" x14ac:dyDescent="0.25">
      <c r="A33" s="2" t="s">
        <v>58</v>
      </c>
      <c r="B33" t="s">
        <v>57</v>
      </c>
      <c r="C33" t="s">
        <v>56</v>
      </c>
    </row>
  </sheetData>
  <hyperlinks>
    <hyperlink ref="C2" r:id="rId1" xr:uid="{3656434A-63F5-4798-91FF-2F236964B613}"/>
    <hyperlink ref="C4" r:id="rId2" xr:uid="{29CF0B99-EC8E-483B-A902-14EB849C2AE4}"/>
    <hyperlink ref="C3" r:id="rId3" xr:uid="{26AB5F88-08C3-4EA5-9F9C-E648F280A1BB}"/>
    <hyperlink ref="C6" r:id="rId4" xr:uid="{F7071C3C-90AB-4231-BC72-430A9903A611}"/>
    <hyperlink ref="C5" r:id="rId5" xr:uid="{07CBE23A-CD06-431F-8DE4-D87AAC522FEA}"/>
    <hyperlink ref="C7" r:id="rId6" display="https://www.nice.org.uk/guidance/ta396/documents/committee-papers" xr:uid="{C0E52FD9-314E-40C1-8F6E-D054EF3B0C11}"/>
    <hyperlink ref="C10" r:id="rId7" xr:uid="{F2300EAA-639B-4485-A4DF-401000588522}"/>
    <hyperlink ref="C11" r:id="rId8" xr:uid="{D72918C9-8274-4DF5-853D-0778575870F4}"/>
    <hyperlink ref="C13" r:id="rId9" display="https://www.nice.org.uk/guidance/ta650/documents/1-2" xr:uid="{15F3F0BF-007E-46F6-882D-EAEDFC4B3E70}"/>
    <hyperlink ref="B14" r:id="rId10" display="https://www.nice.org.uk/guidance/ta650/documents/1" xr:uid="{C15CF636-F990-4AD2-BF83-7437C7A674BB}"/>
    <hyperlink ref="B18" r:id="rId11" xr:uid="{8D0A2F51-DD4A-4102-A27C-A895008EDE02}"/>
    <hyperlink ref="C27" r:id="rId12" xr:uid="{D28ED459-1492-47BB-891B-03675DC27E86}"/>
    <hyperlink ref="C29" r:id="rId13" xr:uid="{A8E13A29-7D8A-4A75-AEA0-4E44DF6179AA}"/>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5B508-D569-4A1F-AD22-ADBDD5ABE816}">
  <dimension ref="A1:N10"/>
  <sheetViews>
    <sheetView topLeftCell="G3" workbookViewId="0">
      <selection activeCell="I4" sqref="I4:I5"/>
    </sheetView>
  </sheetViews>
  <sheetFormatPr defaultRowHeight="15" x14ac:dyDescent="0.25"/>
  <cols>
    <col min="1" max="1" width="30.42578125" customWidth="1"/>
    <col min="2" max="2" width="43" hidden="1" customWidth="1"/>
    <col min="3" max="3" width="23.85546875" customWidth="1"/>
    <col min="4" max="8" width="43" customWidth="1"/>
    <col min="9" max="9" width="63.85546875" customWidth="1"/>
    <col min="10" max="10" width="40.42578125" customWidth="1"/>
    <col min="11" max="11" width="57.85546875" customWidth="1"/>
    <col min="12" max="12" width="46.28515625" customWidth="1"/>
    <col min="13" max="13" width="29.85546875" customWidth="1"/>
    <col min="14" max="14" width="25" customWidth="1"/>
  </cols>
  <sheetData>
    <row r="1" spans="1:14" x14ac:dyDescent="0.25">
      <c r="A1" t="s">
        <v>78</v>
      </c>
      <c r="B1" t="s">
        <v>63</v>
      </c>
      <c r="C1" t="s">
        <v>90</v>
      </c>
      <c r="D1" t="s">
        <v>91</v>
      </c>
      <c r="E1" t="s">
        <v>117</v>
      </c>
      <c r="F1" t="s">
        <v>89</v>
      </c>
      <c r="G1" t="s">
        <v>63</v>
      </c>
      <c r="H1" t="s">
        <v>109</v>
      </c>
      <c r="I1" t="s">
        <v>0</v>
      </c>
      <c r="J1" t="s">
        <v>2</v>
      </c>
      <c r="K1" t="s">
        <v>0</v>
      </c>
      <c r="L1" t="s">
        <v>59</v>
      </c>
      <c r="M1" t="s">
        <v>63</v>
      </c>
      <c r="N1" t="s">
        <v>70</v>
      </c>
    </row>
    <row r="2" spans="1:14" ht="150" x14ac:dyDescent="0.25">
      <c r="A2" s="33" t="s">
        <v>79</v>
      </c>
      <c r="B2" s="26" t="s">
        <v>85</v>
      </c>
      <c r="C2" s="26" t="s">
        <v>92</v>
      </c>
      <c r="D2" s="26" t="s">
        <v>96</v>
      </c>
      <c r="E2" s="26" t="s">
        <v>93</v>
      </c>
      <c r="F2" s="26" t="s">
        <v>110</v>
      </c>
      <c r="G2" s="26" t="s">
        <v>119</v>
      </c>
      <c r="H2" s="38" t="s">
        <v>115</v>
      </c>
      <c r="I2" s="9" t="s">
        <v>31</v>
      </c>
      <c r="J2" s="14" t="s">
        <v>14</v>
      </c>
      <c r="K2" s="11" t="s">
        <v>15</v>
      </c>
      <c r="L2" s="27" t="s">
        <v>62</v>
      </c>
      <c r="M2" s="13"/>
      <c r="N2" s="21" t="s">
        <v>71</v>
      </c>
    </row>
    <row r="3" spans="1:14" ht="60" x14ac:dyDescent="0.25">
      <c r="A3" s="33" t="s">
        <v>80</v>
      </c>
      <c r="B3" s="23" t="s">
        <v>87</v>
      </c>
      <c r="C3" s="23" t="s">
        <v>95</v>
      </c>
      <c r="D3" s="23" t="s">
        <v>94</v>
      </c>
      <c r="E3" s="23" t="s">
        <v>97</v>
      </c>
      <c r="F3" s="23" t="s">
        <v>98</v>
      </c>
      <c r="G3" s="23"/>
      <c r="H3" s="37" t="s">
        <v>118</v>
      </c>
      <c r="I3" s="9" t="s">
        <v>18</v>
      </c>
      <c r="J3" s="10" t="s">
        <v>65</v>
      </c>
      <c r="K3" s="14" t="s">
        <v>86</v>
      </c>
      <c r="L3" s="27" t="s">
        <v>62</v>
      </c>
      <c r="M3" s="13"/>
      <c r="N3" s="18" t="s">
        <v>72</v>
      </c>
    </row>
    <row r="4" spans="1:14" ht="60" x14ac:dyDescent="0.25">
      <c r="A4" s="99" t="s">
        <v>81</v>
      </c>
      <c r="B4" s="24" t="s">
        <v>99</v>
      </c>
      <c r="C4" s="24" t="s">
        <v>100</v>
      </c>
      <c r="D4" s="24" t="s">
        <v>101</v>
      </c>
      <c r="E4" s="24" t="s">
        <v>102</v>
      </c>
      <c r="F4" s="24" t="s">
        <v>103</v>
      </c>
      <c r="G4" s="24" t="s">
        <v>104</v>
      </c>
      <c r="H4" s="39" t="s">
        <v>115</v>
      </c>
      <c r="I4" s="89" t="s">
        <v>73</v>
      </c>
      <c r="J4" s="3" t="s">
        <v>21</v>
      </c>
      <c r="K4" s="4" t="s">
        <v>19</v>
      </c>
      <c r="L4" s="101" t="s">
        <v>62</v>
      </c>
      <c r="M4" s="16" t="s">
        <v>66</v>
      </c>
      <c r="N4" s="22" t="s">
        <v>74</v>
      </c>
    </row>
    <row r="5" spans="1:14" x14ac:dyDescent="0.25">
      <c r="A5" s="99"/>
      <c r="B5" s="24"/>
      <c r="C5" s="24"/>
      <c r="D5" s="24"/>
      <c r="E5" s="24"/>
      <c r="F5" s="24"/>
      <c r="G5" s="24"/>
      <c r="H5" s="24"/>
      <c r="I5" s="90"/>
      <c r="J5" s="6"/>
      <c r="K5" s="7" t="s">
        <v>20</v>
      </c>
      <c r="L5" s="102"/>
      <c r="M5" s="8"/>
      <c r="N5" s="22"/>
    </row>
    <row r="6" spans="1:14" ht="75" x14ac:dyDescent="0.25">
      <c r="A6" s="100" t="s">
        <v>82</v>
      </c>
      <c r="B6" s="25"/>
      <c r="C6" s="26" t="s">
        <v>92</v>
      </c>
      <c r="D6" s="35" t="s">
        <v>101</v>
      </c>
      <c r="E6" s="32" t="s">
        <v>106</v>
      </c>
      <c r="F6" s="25" t="s">
        <v>107</v>
      </c>
      <c r="G6" s="34" t="s">
        <v>105</v>
      </c>
      <c r="H6" s="25" t="s">
        <v>116</v>
      </c>
      <c r="I6" s="15" t="s">
        <v>41</v>
      </c>
      <c r="J6" s="3" t="s">
        <v>33</v>
      </c>
      <c r="K6" s="3" t="s">
        <v>34</v>
      </c>
      <c r="L6" s="101" t="s">
        <v>62</v>
      </c>
      <c r="M6" s="5"/>
      <c r="N6" s="21" t="s">
        <v>75</v>
      </c>
    </row>
    <row r="7" spans="1:14" x14ac:dyDescent="0.25">
      <c r="A7" s="100"/>
      <c r="B7" s="25"/>
      <c r="C7" s="25"/>
      <c r="D7" s="25"/>
      <c r="E7" s="25"/>
      <c r="F7" s="25" t="s">
        <v>108</v>
      </c>
      <c r="G7" s="25"/>
      <c r="H7" s="25"/>
      <c r="I7" s="17"/>
      <c r="J7" s="7" t="s">
        <v>36</v>
      </c>
      <c r="K7" s="6" t="s">
        <v>35</v>
      </c>
      <c r="L7" s="102"/>
      <c r="M7" s="8"/>
    </row>
    <row r="8" spans="1:14" ht="75" x14ac:dyDescent="0.25">
      <c r="A8" s="33" t="s">
        <v>83</v>
      </c>
      <c r="C8" s="26" t="s">
        <v>92</v>
      </c>
      <c r="D8" s="24" t="s">
        <v>101</v>
      </c>
      <c r="E8" t="s">
        <v>111</v>
      </c>
      <c r="F8" s="2" t="s">
        <v>112</v>
      </c>
      <c r="G8" t="s">
        <v>113</v>
      </c>
      <c r="H8" t="s">
        <v>116</v>
      </c>
      <c r="I8" s="9" t="s">
        <v>42</v>
      </c>
      <c r="J8" s="10" t="s">
        <v>88</v>
      </c>
      <c r="K8" s="10"/>
      <c r="L8" s="28" t="s">
        <v>62</v>
      </c>
      <c r="M8" s="13"/>
      <c r="N8" s="18" t="s">
        <v>76</v>
      </c>
    </row>
    <row r="9" spans="1:14" x14ac:dyDescent="0.25">
      <c r="A9" s="33" t="s">
        <v>84</v>
      </c>
      <c r="C9" s="26" t="s">
        <v>95</v>
      </c>
      <c r="D9" s="36" t="s">
        <v>114</v>
      </c>
      <c r="E9" t="s">
        <v>120</v>
      </c>
      <c r="G9" t="s">
        <v>121</v>
      </c>
      <c r="H9" t="s">
        <v>116</v>
      </c>
      <c r="I9" t="s">
        <v>69</v>
      </c>
      <c r="J9" s="4" t="s">
        <v>26</v>
      </c>
      <c r="K9" s="4" t="s">
        <v>24</v>
      </c>
      <c r="L9" s="97" t="s">
        <v>62</v>
      </c>
      <c r="M9" s="5" t="s">
        <v>25</v>
      </c>
      <c r="N9" t="s">
        <v>77</v>
      </c>
    </row>
    <row r="10" spans="1:14" x14ac:dyDescent="0.25">
      <c r="I10" s="17"/>
      <c r="J10" s="6"/>
      <c r="K10" s="7" t="s">
        <v>27</v>
      </c>
      <c r="L10" s="98"/>
      <c r="M10" s="8"/>
    </row>
  </sheetData>
  <mergeCells count="6">
    <mergeCell ref="L9:L10"/>
    <mergeCell ref="A4:A5"/>
    <mergeCell ref="A6:A7"/>
    <mergeCell ref="I4:I5"/>
    <mergeCell ref="L4:L5"/>
    <mergeCell ref="L6:L7"/>
  </mergeCells>
  <hyperlinks>
    <hyperlink ref="K2" r:id="rId1" display="https://www.nice.org.uk/guidance/ta396/documents/committee-papers" xr:uid="{61C0472A-AC6F-40F5-BBB4-B1DD69D9CCEA}"/>
    <hyperlink ref="K4" r:id="rId2" xr:uid="{87A17BEA-06EA-4DEC-82F1-4AC95E597E3C}"/>
    <hyperlink ref="K5" r:id="rId3" xr:uid="{8D3B451D-82A9-4A18-8B6C-4867E0B253AD}"/>
    <hyperlink ref="K9" r:id="rId4" display="https://www.nice.org.uk/guidance/ta650/documents/1-2" xr:uid="{D7B81B4A-7ECE-4AFB-BF57-706E8760E382}"/>
    <hyperlink ref="K10" r:id="rId5" display="https://www.nice.org.uk/guidance/ta650/documents/1" xr:uid="{181A2801-6CD3-4B1B-9A44-CC3C15FAAF6C}"/>
    <hyperlink ref="J7" r:id="rId6" xr:uid="{028FB18A-E1F4-4B89-A94D-3F2D571A6165}"/>
    <hyperlink ref="H3" r:id="rId7" display="Y" xr:uid="{786E1DB1-7670-48DB-8D6F-97901F0DC6CE}"/>
    <hyperlink ref="H2" r:id="rId8" xr:uid="{3A0E6116-CD2E-4B17-94C2-623FC7836DFC}"/>
    <hyperlink ref="H4" r:id="rId9" xr:uid="{99871A58-9176-4F1C-97BE-4A58E993DC62}"/>
  </hyperlinks>
  <pageMargins left="0.7" right="0.7" top="0.75" bottom="0.75" header="0.3" footer="0.3"/>
  <legacyDrawing r:id="rId1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32489-7AE6-4B85-BD70-270D749593F2}">
  <dimension ref="A1:T14"/>
  <sheetViews>
    <sheetView topLeftCell="F3" workbookViewId="0">
      <selection activeCell="F7" sqref="F7"/>
    </sheetView>
  </sheetViews>
  <sheetFormatPr defaultRowHeight="15" x14ac:dyDescent="0.25"/>
  <cols>
    <col min="1" max="1" width="30.42578125" customWidth="1"/>
    <col min="2" max="3" width="43" customWidth="1"/>
    <col min="4" max="4" width="23.85546875" customWidth="1"/>
    <col min="5" max="6" width="43" customWidth="1"/>
    <col min="7" max="7" width="35.28515625" customWidth="1"/>
    <col min="8" max="10" width="32.7109375" customWidth="1"/>
    <col min="11" max="14" width="43" customWidth="1"/>
    <col min="15" max="15" width="63.85546875" customWidth="1"/>
    <col min="16" max="16" width="40.42578125" customWidth="1"/>
    <col min="17" max="17" width="57.85546875" customWidth="1"/>
    <col min="18" max="18" width="46.28515625" customWidth="1"/>
    <col min="19" max="19" width="29.85546875" customWidth="1"/>
    <col min="20" max="20" width="25" customWidth="1"/>
  </cols>
  <sheetData>
    <row r="1" spans="1:20" ht="15.75" thickBot="1" x14ac:dyDescent="0.3">
      <c r="A1" s="40">
        <f>COUNTA($A$2:A2)</f>
        <v>1</v>
      </c>
      <c r="B1" s="40">
        <f>COUNTA($A$2:B2)</f>
        <v>2</v>
      </c>
      <c r="C1" s="40">
        <f>COUNTA($A$2:C2)</f>
        <v>3</v>
      </c>
      <c r="D1" s="40">
        <f>COUNTA($A$2:D2)</f>
        <v>4</v>
      </c>
      <c r="E1" s="40">
        <f>COUNTA($A$2:E2)</f>
        <v>5</v>
      </c>
      <c r="F1" s="40">
        <f>COUNTA($A$2:F2)</f>
        <v>6</v>
      </c>
      <c r="G1" s="55" t="s">
        <v>127</v>
      </c>
      <c r="H1" s="43"/>
      <c r="I1" s="42" t="s">
        <v>130</v>
      </c>
      <c r="J1" s="43"/>
      <c r="K1" s="40">
        <f>COUNTA($A$2:K2)</f>
        <v>11</v>
      </c>
    </row>
    <row r="2" spans="1:20" ht="41.25" customHeight="1" thickBot="1" x14ac:dyDescent="0.3">
      <c r="A2" s="53" t="s">
        <v>78</v>
      </c>
      <c r="B2" s="54" t="s">
        <v>63</v>
      </c>
      <c r="C2" s="54" t="s">
        <v>122</v>
      </c>
      <c r="D2" s="54" t="s">
        <v>90</v>
      </c>
      <c r="E2" s="54" t="s">
        <v>91</v>
      </c>
      <c r="F2" s="54" t="s">
        <v>125</v>
      </c>
      <c r="G2" s="56" t="s">
        <v>128</v>
      </c>
      <c r="H2" s="58" t="s">
        <v>129</v>
      </c>
      <c r="I2" s="57" t="s">
        <v>128</v>
      </c>
      <c r="J2" s="58" t="s">
        <v>129</v>
      </c>
      <c r="K2" t="s">
        <v>117</v>
      </c>
      <c r="L2" t="s">
        <v>89</v>
      </c>
      <c r="M2" t="s">
        <v>63</v>
      </c>
      <c r="N2" t="s">
        <v>109</v>
      </c>
      <c r="O2" t="s">
        <v>0</v>
      </c>
      <c r="P2" t="s">
        <v>2</v>
      </c>
      <c r="Q2" t="s">
        <v>0</v>
      </c>
      <c r="R2" t="s">
        <v>59</v>
      </c>
      <c r="S2" t="s">
        <v>63</v>
      </c>
      <c r="T2" t="s">
        <v>70</v>
      </c>
    </row>
    <row r="3" spans="1:20" ht="150" x14ac:dyDescent="0.25">
      <c r="A3" s="50" t="s">
        <v>79</v>
      </c>
      <c r="B3" s="51" t="s">
        <v>85</v>
      </c>
      <c r="C3" s="51" t="s">
        <v>124</v>
      </c>
      <c r="D3" s="51" t="s">
        <v>92</v>
      </c>
      <c r="E3" s="51" t="s">
        <v>96</v>
      </c>
      <c r="F3" s="51" t="s">
        <v>124</v>
      </c>
      <c r="G3" s="51">
        <v>18.600000000000001</v>
      </c>
      <c r="H3" s="51">
        <v>18.3</v>
      </c>
      <c r="I3" s="51">
        <v>11.8</v>
      </c>
      <c r="J3" s="52">
        <v>14.7</v>
      </c>
      <c r="K3" s="26" t="s">
        <v>93</v>
      </c>
      <c r="L3" s="26" t="s">
        <v>110</v>
      </c>
      <c r="M3" s="26" t="s">
        <v>119</v>
      </c>
      <c r="N3" s="38" t="s">
        <v>115</v>
      </c>
      <c r="O3" s="9" t="s">
        <v>31</v>
      </c>
      <c r="P3" s="14" t="s">
        <v>14</v>
      </c>
      <c r="Q3" s="11" t="s">
        <v>15</v>
      </c>
      <c r="R3" s="27" t="s">
        <v>62</v>
      </c>
      <c r="S3" s="13"/>
      <c r="T3" s="21" t="s">
        <v>152</v>
      </c>
    </row>
    <row r="4" spans="1:20" ht="30.75" thickBot="1" x14ac:dyDescent="0.3">
      <c r="A4" s="45" t="s">
        <v>79</v>
      </c>
      <c r="B4" s="24"/>
      <c r="C4" s="24" t="s">
        <v>126</v>
      </c>
      <c r="D4" s="24" t="s">
        <v>92</v>
      </c>
      <c r="E4" s="24" t="s">
        <v>96</v>
      </c>
      <c r="F4" s="24" t="s">
        <v>126</v>
      </c>
      <c r="G4" s="24">
        <v>3.2</v>
      </c>
      <c r="H4" s="24" t="s">
        <v>131</v>
      </c>
      <c r="I4" s="24">
        <v>12.5</v>
      </c>
      <c r="J4" s="46">
        <v>19.100000000000001</v>
      </c>
      <c r="K4" s="26"/>
      <c r="L4" s="26"/>
      <c r="M4" s="26"/>
      <c r="N4" s="38"/>
      <c r="O4" s="9"/>
      <c r="P4" s="14"/>
      <c r="Q4" s="11"/>
      <c r="R4" s="27"/>
      <c r="S4" s="13"/>
      <c r="T4" s="21"/>
    </row>
    <row r="5" spans="1:20" ht="60" x14ac:dyDescent="0.25">
      <c r="A5" s="50" t="s">
        <v>80</v>
      </c>
      <c r="B5" s="60" t="s">
        <v>87</v>
      </c>
      <c r="C5" s="51" t="s">
        <v>132</v>
      </c>
      <c r="D5" s="60" t="s">
        <v>95</v>
      </c>
      <c r="E5" s="60" t="s">
        <v>94</v>
      </c>
      <c r="F5" s="51" t="s">
        <v>132</v>
      </c>
      <c r="G5" s="51" t="s">
        <v>131</v>
      </c>
      <c r="H5" s="51" t="s">
        <v>131</v>
      </c>
      <c r="I5" s="51">
        <v>4</v>
      </c>
      <c r="J5" s="61">
        <v>2.6</v>
      </c>
      <c r="K5" s="23" t="s">
        <v>97</v>
      </c>
      <c r="L5" s="23" t="s">
        <v>98</v>
      </c>
      <c r="M5" s="23"/>
      <c r="N5" s="37" t="s">
        <v>118</v>
      </c>
      <c r="O5" s="9" t="s">
        <v>18</v>
      </c>
      <c r="P5" s="10" t="s">
        <v>65</v>
      </c>
      <c r="Q5" s="14" t="s">
        <v>86</v>
      </c>
      <c r="R5" s="27" t="s">
        <v>62</v>
      </c>
      <c r="S5" s="13"/>
      <c r="T5" s="18" t="s">
        <v>151</v>
      </c>
    </row>
    <row r="6" spans="1:20" ht="15.75" thickBot="1" x14ac:dyDescent="0.3">
      <c r="A6" s="47" t="s">
        <v>80</v>
      </c>
      <c r="B6" s="62"/>
      <c r="C6" s="48" t="s">
        <v>133</v>
      </c>
      <c r="D6" s="62" t="s">
        <v>95</v>
      </c>
      <c r="E6" s="62" t="s">
        <v>94</v>
      </c>
      <c r="F6" s="48" t="s">
        <v>133</v>
      </c>
      <c r="G6" s="62" t="s">
        <v>131</v>
      </c>
      <c r="H6" s="62" t="s">
        <v>131</v>
      </c>
      <c r="I6" s="62">
        <v>4</v>
      </c>
      <c r="J6" s="63">
        <v>3.7</v>
      </c>
      <c r="K6" s="23"/>
      <c r="L6" s="23"/>
      <c r="M6" s="23"/>
      <c r="N6" s="37"/>
      <c r="O6" s="15"/>
      <c r="P6" s="3"/>
      <c r="Q6" s="59"/>
      <c r="R6" s="31"/>
      <c r="S6" s="5"/>
      <c r="T6" s="18"/>
    </row>
    <row r="7" spans="1:20" ht="60.75" thickBot="1" x14ac:dyDescent="0.3">
      <c r="A7" s="64" t="s">
        <v>81</v>
      </c>
      <c r="B7" s="65" t="s">
        <v>99</v>
      </c>
      <c r="C7" s="65" t="s">
        <v>134</v>
      </c>
      <c r="D7" s="65" t="s">
        <v>100</v>
      </c>
      <c r="E7" s="65" t="s">
        <v>94</v>
      </c>
      <c r="F7" s="65" t="s">
        <v>134</v>
      </c>
      <c r="G7" s="65">
        <f>ROUND(52*(12/52),0)</f>
        <v>12</v>
      </c>
      <c r="H7" s="65">
        <f>ROUND(12.2, 0)</f>
        <v>12</v>
      </c>
      <c r="I7" s="65" t="s">
        <v>131</v>
      </c>
      <c r="J7" s="66" t="s">
        <v>131</v>
      </c>
      <c r="K7" s="24" t="s">
        <v>102</v>
      </c>
      <c r="L7" s="24" t="s">
        <v>103</v>
      </c>
      <c r="M7" s="24" t="s">
        <v>104</v>
      </c>
      <c r="N7" s="39" t="s">
        <v>115</v>
      </c>
      <c r="O7" s="29" t="s">
        <v>73</v>
      </c>
      <c r="P7" s="3" t="s">
        <v>21</v>
      </c>
      <c r="Q7" s="4" t="s">
        <v>19</v>
      </c>
      <c r="R7" s="31" t="s">
        <v>62</v>
      </c>
      <c r="S7" s="16" t="s">
        <v>66</v>
      </c>
      <c r="T7" s="22" t="s">
        <v>153</v>
      </c>
    </row>
    <row r="8" spans="1:20" ht="75" x14ac:dyDescent="0.25">
      <c r="A8" s="67" t="s">
        <v>82</v>
      </c>
      <c r="B8" s="68"/>
      <c r="C8" s="68" t="s">
        <v>135</v>
      </c>
      <c r="D8" s="51" t="s">
        <v>92</v>
      </c>
      <c r="E8" s="60" t="s">
        <v>94</v>
      </c>
      <c r="F8" s="68" t="s">
        <v>135</v>
      </c>
      <c r="G8" s="69">
        <f>ROUND(12*340/365.25,0)</f>
        <v>11</v>
      </c>
      <c r="H8" s="70">
        <f>ROUND(1.15*12,0)</f>
        <v>14</v>
      </c>
      <c r="I8" s="60">
        <f>ROUND(12*190/365.25,0)</f>
        <v>6</v>
      </c>
      <c r="J8" s="71">
        <f>ROUND(12*208/365.25,0)</f>
        <v>7</v>
      </c>
      <c r="K8" s="32" t="s">
        <v>106</v>
      </c>
      <c r="L8" s="25" t="s">
        <v>107</v>
      </c>
      <c r="M8" s="34" t="s">
        <v>105</v>
      </c>
      <c r="N8" s="25" t="s">
        <v>116</v>
      </c>
      <c r="O8" s="15" t="s">
        <v>41</v>
      </c>
      <c r="P8" s="3" t="s">
        <v>33</v>
      </c>
      <c r="Q8" s="3" t="s">
        <v>34</v>
      </c>
      <c r="R8" s="101" t="s">
        <v>62</v>
      </c>
      <c r="S8" s="5"/>
      <c r="T8" s="21" t="s">
        <v>154</v>
      </c>
    </row>
    <row r="9" spans="1:20" ht="15.75" thickBot="1" x14ac:dyDescent="0.3">
      <c r="A9" s="72" t="s">
        <v>82</v>
      </c>
      <c r="B9" s="73"/>
      <c r="C9" s="73" t="s">
        <v>136</v>
      </c>
      <c r="D9" s="48" t="s">
        <v>92</v>
      </c>
      <c r="E9" s="62" t="s">
        <v>94</v>
      </c>
      <c r="F9" s="73" t="s">
        <v>136</v>
      </c>
      <c r="G9" s="74">
        <f>ROUND(12*770/365.25,0)</f>
        <v>25</v>
      </c>
      <c r="H9" s="75">
        <f>ROUND(2.1*12,0)</f>
        <v>25</v>
      </c>
      <c r="I9" s="62">
        <v>12</v>
      </c>
      <c r="J9" s="76">
        <f>ROUND(12*1.28,0)</f>
        <v>15</v>
      </c>
      <c r="K9" s="25"/>
      <c r="L9" s="25" t="s">
        <v>108</v>
      </c>
      <c r="M9" s="25"/>
      <c r="N9" s="25"/>
      <c r="O9" s="17"/>
      <c r="P9" s="7" t="s">
        <v>36</v>
      </c>
      <c r="Q9" s="6" t="s">
        <v>35</v>
      </c>
      <c r="R9" s="102"/>
      <c r="S9" s="8"/>
    </row>
    <row r="10" spans="1:20" ht="75" x14ac:dyDescent="0.25">
      <c r="A10" s="50" t="s">
        <v>83</v>
      </c>
      <c r="B10" s="41"/>
      <c r="C10" s="77" t="s">
        <v>137</v>
      </c>
      <c r="D10" s="51" t="s">
        <v>92</v>
      </c>
      <c r="E10" s="60" t="s">
        <v>94</v>
      </c>
      <c r="F10" s="77" t="s">
        <v>137</v>
      </c>
      <c r="G10" s="51">
        <f>ROUND(12*175/365.25,0)</f>
        <v>6</v>
      </c>
      <c r="H10" s="70" t="s">
        <v>131</v>
      </c>
      <c r="I10" s="51">
        <f>ROUND(12*375/365.25,0)</f>
        <v>12</v>
      </c>
      <c r="J10" s="52">
        <f>ROUND(12*199/365.25,0)</f>
        <v>7</v>
      </c>
      <c r="K10" t="s">
        <v>111</v>
      </c>
      <c r="L10" s="2" t="s">
        <v>112</v>
      </c>
      <c r="M10" t="s">
        <v>113</v>
      </c>
      <c r="N10" t="s">
        <v>116</v>
      </c>
      <c r="O10" s="9" t="s">
        <v>42</v>
      </c>
      <c r="P10" s="10" t="s">
        <v>88</v>
      </c>
      <c r="Q10" s="10"/>
      <c r="R10" s="28" t="s">
        <v>62</v>
      </c>
      <c r="S10" s="13"/>
      <c r="T10" s="18" t="s">
        <v>155</v>
      </c>
    </row>
    <row r="11" spans="1:20" ht="15.75" thickBot="1" x14ac:dyDescent="0.3">
      <c r="A11" s="47" t="s">
        <v>83</v>
      </c>
      <c r="B11" s="78"/>
      <c r="C11" s="79" t="s">
        <v>138</v>
      </c>
      <c r="D11" s="48" t="s">
        <v>92</v>
      </c>
      <c r="E11" s="62" t="s">
        <v>94</v>
      </c>
      <c r="F11" s="79" t="s">
        <v>138</v>
      </c>
      <c r="G11" s="48">
        <f>ROUND(12*300/365.25,0)</f>
        <v>10</v>
      </c>
      <c r="H11" s="75">
        <f>ROUND(12*76/365.25,0)</f>
        <v>2</v>
      </c>
      <c r="I11" s="48">
        <f>ROUND(12*375/365.25,0)</f>
        <v>12</v>
      </c>
      <c r="J11" s="49">
        <f>ROUND(12*137/365.25,0)</f>
        <v>5</v>
      </c>
      <c r="L11" s="2"/>
      <c r="O11" s="44"/>
      <c r="P11" s="3"/>
      <c r="Q11" s="3"/>
      <c r="R11" s="30"/>
      <c r="S11" s="5"/>
      <c r="T11" s="18"/>
    </row>
    <row r="12" spans="1:20" x14ac:dyDescent="0.25">
      <c r="A12" s="50" t="s">
        <v>84</v>
      </c>
      <c r="B12" s="41"/>
      <c r="C12" s="77" t="s">
        <v>140</v>
      </c>
      <c r="D12" s="51" t="s">
        <v>95</v>
      </c>
      <c r="E12" s="77" t="s">
        <v>139</v>
      </c>
      <c r="F12" s="77" t="s">
        <v>140</v>
      </c>
      <c r="G12" s="77" t="s">
        <v>131</v>
      </c>
      <c r="H12" s="77" t="s">
        <v>131</v>
      </c>
      <c r="I12" s="77">
        <f>13*12/52</f>
        <v>3</v>
      </c>
      <c r="J12" s="80">
        <v>3</v>
      </c>
      <c r="K12" t="s">
        <v>120</v>
      </c>
      <c r="M12" t="s">
        <v>121</v>
      </c>
      <c r="N12" t="s">
        <v>116</v>
      </c>
      <c r="O12" t="s">
        <v>69</v>
      </c>
      <c r="P12" s="4" t="s">
        <v>26</v>
      </c>
      <c r="Q12" s="4" t="s">
        <v>24</v>
      </c>
      <c r="R12" s="97" t="s">
        <v>62</v>
      </c>
      <c r="S12" s="5" t="s">
        <v>25</v>
      </c>
      <c r="T12" t="s">
        <v>156</v>
      </c>
    </row>
    <row r="13" spans="1:20" ht="15.75" thickBot="1" x14ac:dyDescent="0.3">
      <c r="A13" s="47" t="s">
        <v>84</v>
      </c>
      <c r="B13" s="78"/>
      <c r="C13" s="79" t="s">
        <v>141</v>
      </c>
      <c r="D13" s="48" t="s">
        <v>95</v>
      </c>
      <c r="E13" s="79" t="s">
        <v>139</v>
      </c>
      <c r="F13" s="79" t="s">
        <v>141</v>
      </c>
      <c r="G13" s="79" t="s">
        <v>131</v>
      </c>
      <c r="H13" s="79" t="s">
        <v>131</v>
      </c>
      <c r="I13" s="78">
        <f>13*12/52</f>
        <v>3</v>
      </c>
      <c r="J13" s="81">
        <v>14</v>
      </c>
      <c r="O13" s="17"/>
      <c r="P13" s="6"/>
      <c r="Q13" s="7" t="s">
        <v>27</v>
      </c>
      <c r="R13" s="98"/>
      <c r="S13" s="8"/>
    </row>
    <row r="14" spans="1:20" x14ac:dyDescent="0.25">
      <c r="K14" t="str">
        <f>" (Also considered "&amp;ROUND(62*(12/52),0)&amp;" and "&amp;ROUND(72*(12/52),0)</f>
        <v xml:space="preserve"> (Also considered 14 and 17</v>
      </c>
    </row>
  </sheetData>
  <mergeCells count="2">
    <mergeCell ref="R8:R9"/>
    <mergeCell ref="R12:R13"/>
  </mergeCells>
  <hyperlinks>
    <hyperlink ref="Q3" r:id="rId1" display="https://www.nice.org.uk/guidance/ta396/documents/committee-papers" xr:uid="{EFD09412-1AFB-42C6-9C9F-427FF06B309B}"/>
    <hyperlink ref="Q7" r:id="rId2" xr:uid="{B5BA784B-EB5D-41FC-A2EA-9071A66C3A2B}"/>
    <hyperlink ref="Q12" r:id="rId3" display="https://www.nice.org.uk/guidance/ta650/documents/1-2" xr:uid="{5C66D68E-DB0D-4D6E-ABEC-C7B34BC8C99F}"/>
    <hyperlink ref="Q13" r:id="rId4" display="https://www.nice.org.uk/guidance/ta650/documents/1" xr:uid="{0CC79279-720B-4CE6-8BE8-2A29FAE3C95B}"/>
    <hyperlink ref="P9" r:id="rId5" xr:uid="{E15C781C-5415-414E-BAAB-11ED6922C98B}"/>
    <hyperlink ref="N5" r:id="rId6" display="Y" xr:uid="{7A426ADF-3809-40DD-83ED-4056D536B91A}"/>
    <hyperlink ref="N3" r:id="rId7" xr:uid="{1F84C124-B2B4-4F04-8AD1-A1387E1BD120}"/>
    <hyperlink ref="N7" r:id="rId8" xr:uid="{45274B0C-5FB5-40E9-A95B-0EDE76CCF609}"/>
  </hyperlinks>
  <pageMargins left="0.7" right="0.7" top="0.75" bottom="0.75" header="0.3" footer="0.3"/>
  <pageSetup orientation="portrait" r:id="rId9"/>
  <legacyDrawing r:id="rId10"/>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1676C-E253-480B-ADCA-8AFC389B3AE2}">
  <dimension ref="A1:T14"/>
  <sheetViews>
    <sheetView topLeftCell="C1" workbookViewId="0">
      <selection activeCell="I10" sqref="I10"/>
    </sheetView>
  </sheetViews>
  <sheetFormatPr defaultRowHeight="15" x14ac:dyDescent="0.25"/>
  <cols>
    <col min="1" max="1" width="30.42578125" customWidth="1"/>
    <col min="2" max="3" width="43" customWidth="1"/>
    <col min="4" max="4" width="23.85546875" customWidth="1"/>
    <col min="5" max="6" width="43" customWidth="1"/>
    <col min="7" max="7" width="35.28515625" customWidth="1"/>
    <col min="8" max="10" width="32.7109375" customWidth="1"/>
    <col min="11" max="14" width="43" customWidth="1"/>
    <col min="15" max="15" width="63.85546875" customWidth="1"/>
    <col min="16" max="16" width="40.42578125" customWidth="1"/>
    <col min="17" max="17" width="57.85546875" customWidth="1"/>
    <col min="18" max="18" width="46.28515625" customWidth="1"/>
    <col min="19" max="19" width="29.85546875" customWidth="1"/>
    <col min="20" max="20" width="25" customWidth="1"/>
  </cols>
  <sheetData>
    <row r="1" spans="1:20" ht="15.75" thickBot="1" x14ac:dyDescent="0.3">
      <c r="A1" s="40">
        <f>COUNTA($A$2:A2)</f>
        <v>1</v>
      </c>
      <c r="B1" s="40">
        <f>COUNTA($A$2:B2)</f>
        <v>2</v>
      </c>
      <c r="C1" s="40">
        <f>COUNTA($A$2:C2)</f>
        <v>3</v>
      </c>
      <c r="D1" s="40">
        <f>COUNTA($A$2:D2)</f>
        <v>4</v>
      </c>
      <c r="E1" s="40">
        <f>COUNTA($A$2:E2)</f>
        <v>5</v>
      </c>
      <c r="F1" s="40">
        <f>COUNTA($A$2:F2)</f>
        <v>6</v>
      </c>
      <c r="G1" s="55" t="s">
        <v>127</v>
      </c>
      <c r="H1" s="43"/>
      <c r="I1" s="42" t="s">
        <v>130</v>
      </c>
      <c r="J1" s="43"/>
      <c r="K1" s="40">
        <f>COUNTA($A$2:K2)</f>
        <v>11</v>
      </c>
    </row>
    <row r="2" spans="1:20" ht="41.25" customHeight="1" thickBot="1" x14ac:dyDescent="0.3">
      <c r="A2" s="53" t="s">
        <v>78</v>
      </c>
      <c r="B2" s="54" t="s">
        <v>63</v>
      </c>
      <c r="C2" s="54" t="s">
        <v>122</v>
      </c>
      <c r="D2" s="54" t="s">
        <v>90</v>
      </c>
      <c r="E2" s="54" t="s">
        <v>91</v>
      </c>
      <c r="F2" s="54" t="s">
        <v>125</v>
      </c>
      <c r="G2" s="56" t="s">
        <v>128</v>
      </c>
      <c r="H2" s="58" t="s">
        <v>129</v>
      </c>
      <c r="I2" s="57" t="s">
        <v>128</v>
      </c>
      <c r="J2" s="58" t="s">
        <v>129</v>
      </c>
      <c r="K2" t="s">
        <v>117</v>
      </c>
      <c r="L2" t="s">
        <v>89</v>
      </c>
      <c r="M2" t="s">
        <v>63</v>
      </c>
      <c r="N2" t="s">
        <v>109</v>
      </c>
      <c r="O2" t="s">
        <v>0</v>
      </c>
      <c r="P2" t="s">
        <v>2</v>
      </c>
      <c r="Q2" t="s">
        <v>0</v>
      </c>
      <c r="R2" t="s">
        <v>59</v>
      </c>
      <c r="S2" t="s">
        <v>63</v>
      </c>
      <c r="T2" t="s">
        <v>70</v>
      </c>
    </row>
    <row r="3" spans="1:20" ht="150.75" thickBot="1" x14ac:dyDescent="0.3">
      <c r="A3" s="50" t="s">
        <v>79</v>
      </c>
      <c r="B3" s="51" t="s">
        <v>85</v>
      </c>
      <c r="C3" s="51" t="s">
        <v>124</v>
      </c>
      <c r="D3" s="51" t="s">
        <v>147</v>
      </c>
      <c r="E3" s="51" t="s">
        <v>150</v>
      </c>
      <c r="F3" s="51" t="s">
        <v>123</v>
      </c>
      <c r="G3" s="51">
        <v>18.600000000000001</v>
      </c>
      <c r="H3" s="51">
        <v>18.3</v>
      </c>
      <c r="I3" s="51">
        <v>11.8</v>
      </c>
      <c r="J3" s="52">
        <v>16.399999999999999</v>
      </c>
      <c r="K3" s="26" t="s">
        <v>93</v>
      </c>
      <c r="L3" s="26" t="s">
        <v>110</v>
      </c>
      <c r="M3" s="26" t="s">
        <v>119</v>
      </c>
      <c r="N3" s="38" t="s">
        <v>115</v>
      </c>
      <c r="O3" s="9" t="s">
        <v>31</v>
      </c>
      <c r="P3" s="14" t="s">
        <v>14</v>
      </c>
      <c r="Q3" s="11" t="s">
        <v>15</v>
      </c>
      <c r="R3" s="27" t="s">
        <v>62</v>
      </c>
      <c r="S3" s="13"/>
      <c r="T3" s="21" t="s">
        <v>71</v>
      </c>
    </row>
    <row r="4" spans="1:20" ht="30.75" thickBot="1" x14ac:dyDescent="0.3">
      <c r="A4" s="45" t="s">
        <v>79</v>
      </c>
      <c r="B4" s="24"/>
      <c r="C4" s="24" t="s">
        <v>126</v>
      </c>
      <c r="D4" s="51" t="s">
        <v>147</v>
      </c>
      <c r="E4" s="51" t="s">
        <v>150</v>
      </c>
      <c r="F4" s="24" t="s">
        <v>149</v>
      </c>
      <c r="G4" s="24">
        <v>3.2</v>
      </c>
      <c r="H4" s="24" t="s">
        <v>131</v>
      </c>
      <c r="I4" s="24">
        <v>12.5</v>
      </c>
      <c r="J4" s="46">
        <v>14.9</v>
      </c>
      <c r="K4" s="26"/>
      <c r="L4" s="26"/>
      <c r="M4" s="26"/>
      <c r="N4" s="38"/>
      <c r="O4" s="9"/>
      <c r="P4" s="14"/>
      <c r="Q4" s="11"/>
      <c r="R4" s="27"/>
      <c r="S4" s="13"/>
      <c r="T4" s="21"/>
    </row>
    <row r="5" spans="1:20" ht="60" x14ac:dyDescent="0.25">
      <c r="A5" s="50" t="s">
        <v>80</v>
      </c>
      <c r="B5" s="60" t="s">
        <v>87</v>
      </c>
      <c r="C5" s="51" t="s">
        <v>132</v>
      </c>
      <c r="D5" s="60" t="s">
        <v>95</v>
      </c>
      <c r="E5" s="60" t="s">
        <v>94</v>
      </c>
      <c r="F5" s="51" t="s">
        <v>132</v>
      </c>
      <c r="G5" s="51" t="s">
        <v>131</v>
      </c>
      <c r="H5" s="51" t="s">
        <v>131</v>
      </c>
      <c r="I5" s="51">
        <v>4</v>
      </c>
      <c r="J5" s="61">
        <v>4.5999999999999996</v>
      </c>
      <c r="K5" s="23" t="s">
        <v>97</v>
      </c>
      <c r="L5" s="23" t="s">
        <v>98</v>
      </c>
      <c r="M5" s="23"/>
      <c r="N5" s="37" t="s">
        <v>118</v>
      </c>
      <c r="O5" s="9" t="s">
        <v>18</v>
      </c>
      <c r="P5" s="10" t="s">
        <v>65</v>
      </c>
      <c r="Q5" s="14" t="s">
        <v>86</v>
      </c>
      <c r="R5" s="27" t="s">
        <v>62</v>
      </c>
      <c r="S5" s="13"/>
      <c r="T5" s="18" t="s">
        <v>72</v>
      </c>
    </row>
    <row r="6" spans="1:20" ht="15.75" thickBot="1" x14ac:dyDescent="0.3">
      <c r="A6" s="47" t="s">
        <v>80</v>
      </c>
      <c r="B6" s="62"/>
      <c r="C6" s="48" t="s">
        <v>133</v>
      </c>
      <c r="D6" s="62" t="s">
        <v>95</v>
      </c>
      <c r="E6" s="62" t="s">
        <v>94</v>
      </c>
      <c r="F6" s="48" t="s">
        <v>133</v>
      </c>
      <c r="G6" s="62" t="s">
        <v>131</v>
      </c>
      <c r="H6" s="62" t="s">
        <v>131</v>
      </c>
      <c r="I6" s="62">
        <v>4</v>
      </c>
      <c r="J6" s="63">
        <v>1.6</v>
      </c>
      <c r="K6" s="23"/>
      <c r="L6" s="23"/>
      <c r="M6" s="23"/>
      <c r="N6" s="37"/>
      <c r="O6" s="15"/>
      <c r="P6" s="3"/>
      <c r="Q6" s="59"/>
      <c r="R6" s="31"/>
      <c r="S6" s="5"/>
      <c r="T6" s="18"/>
    </row>
    <row r="7" spans="1:20" ht="60.75" thickBot="1" x14ac:dyDescent="0.3">
      <c r="A7" s="64" t="s">
        <v>81</v>
      </c>
      <c r="B7" s="65" t="s">
        <v>99</v>
      </c>
      <c r="C7" s="65" t="s">
        <v>134</v>
      </c>
      <c r="D7" s="65" t="s">
        <v>148</v>
      </c>
      <c r="E7" s="65" t="s">
        <v>94</v>
      </c>
      <c r="F7" s="65" t="s">
        <v>134</v>
      </c>
      <c r="G7" s="65">
        <f>ROUND(52*(12/52),0)</f>
        <v>12</v>
      </c>
      <c r="H7" s="65">
        <v>12.2</v>
      </c>
      <c r="I7" s="65" t="s">
        <v>131</v>
      </c>
      <c r="J7" s="66" t="s">
        <v>131</v>
      </c>
      <c r="K7" s="24" t="s">
        <v>102</v>
      </c>
      <c r="L7" s="24" t="s">
        <v>103</v>
      </c>
      <c r="M7" s="24" t="s">
        <v>104</v>
      </c>
      <c r="N7" s="39" t="s">
        <v>115</v>
      </c>
      <c r="O7" s="29" t="s">
        <v>73</v>
      </c>
      <c r="P7" s="3" t="s">
        <v>21</v>
      </c>
      <c r="Q7" s="4" t="s">
        <v>19</v>
      </c>
      <c r="R7" s="31" t="s">
        <v>62</v>
      </c>
      <c r="S7" s="16" t="s">
        <v>66</v>
      </c>
      <c r="T7" s="22" t="s">
        <v>74</v>
      </c>
    </row>
    <row r="8" spans="1:20" ht="75" x14ac:dyDescent="0.25">
      <c r="A8" s="67" t="s">
        <v>82</v>
      </c>
      <c r="B8" s="68"/>
      <c r="C8" s="68" t="s">
        <v>135</v>
      </c>
      <c r="D8" s="51" t="s">
        <v>92</v>
      </c>
      <c r="E8" s="60" t="s">
        <v>94</v>
      </c>
      <c r="F8" s="68" t="s">
        <v>142</v>
      </c>
      <c r="G8" s="69">
        <f>ROUND(12*340/365.25,1)</f>
        <v>11.2</v>
      </c>
      <c r="H8" s="70">
        <v>13.8</v>
      </c>
      <c r="I8" s="60">
        <f>ROUND(12*190/365.25,1)</f>
        <v>6.2</v>
      </c>
      <c r="J8" s="71">
        <v>6.8</v>
      </c>
      <c r="K8" s="32" t="s">
        <v>106</v>
      </c>
      <c r="L8" s="25" t="s">
        <v>107</v>
      </c>
      <c r="M8" s="34" t="s">
        <v>105</v>
      </c>
      <c r="N8" s="25" t="s">
        <v>116</v>
      </c>
      <c r="O8" s="15" t="s">
        <v>41</v>
      </c>
      <c r="P8" s="3" t="s">
        <v>33</v>
      </c>
      <c r="Q8" s="3" t="s">
        <v>34</v>
      </c>
      <c r="R8" s="101" t="s">
        <v>62</v>
      </c>
      <c r="S8" s="5"/>
      <c r="T8" s="21" t="s">
        <v>75</v>
      </c>
    </row>
    <row r="9" spans="1:20" ht="15.75" thickBot="1" x14ac:dyDescent="0.3">
      <c r="A9" s="72" t="s">
        <v>82</v>
      </c>
      <c r="B9" s="73"/>
      <c r="C9" s="73" t="s">
        <v>136</v>
      </c>
      <c r="D9" s="48" t="s">
        <v>92</v>
      </c>
      <c r="E9" s="62" t="s">
        <v>94</v>
      </c>
      <c r="F9" s="73" t="s">
        <v>143</v>
      </c>
      <c r="G9" s="74">
        <f>ROUND(12*770/365.25,1)</f>
        <v>25.3</v>
      </c>
      <c r="H9" s="75">
        <v>25.4</v>
      </c>
      <c r="I9" s="62">
        <v>12</v>
      </c>
      <c r="J9" s="76">
        <v>14.6</v>
      </c>
      <c r="K9" s="25"/>
      <c r="L9" s="25" t="s">
        <v>108</v>
      </c>
      <c r="M9" s="25"/>
      <c r="N9" s="25"/>
      <c r="O9" s="17"/>
      <c r="P9" s="7" t="s">
        <v>36</v>
      </c>
      <c r="Q9" s="6" t="s">
        <v>35</v>
      </c>
      <c r="R9" s="102"/>
      <c r="S9" s="8"/>
    </row>
    <row r="10" spans="1:20" ht="75" x14ac:dyDescent="0.25">
      <c r="A10" s="50" t="s">
        <v>83</v>
      </c>
      <c r="B10" s="41"/>
      <c r="C10" s="77" t="s">
        <v>158</v>
      </c>
      <c r="D10" s="51" t="s">
        <v>92</v>
      </c>
      <c r="E10" s="60" t="s">
        <v>94</v>
      </c>
      <c r="F10" s="77" t="s">
        <v>157</v>
      </c>
      <c r="G10" s="51">
        <f>ROUND(12*175/365.25,1)</f>
        <v>5.7</v>
      </c>
      <c r="H10" s="70" t="s">
        <v>131</v>
      </c>
      <c r="I10" s="51">
        <f>ROUND(12*375/365.25,1)</f>
        <v>12.3</v>
      </c>
      <c r="J10" s="52">
        <v>6.7</v>
      </c>
      <c r="K10" t="s">
        <v>111</v>
      </c>
      <c r="L10" s="2" t="s">
        <v>112</v>
      </c>
      <c r="M10" t="s">
        <v>113</v>
      </c>
      <c r="N10" t="s">
        <v>116</v>
      </c>
      <c r="O10" s="9" t="s">
        <v>42</v>
      </c>
      <c r="P10" s="10" t="s">
        <v>88</v>
      </c>
      <c r="Q10" s="10"/>
      <c r="R10" s="28" t="s">
        <v>62</v>
      </c>
      <c r="S10" s="13"/>
      <c r="T10" s="18" t="s">
        <v>76</v>
      </c>
    </row>
    <row r="11" spans="1:20" ht="15.75" thickBot="1" x14ac:dyDescent="0.3">
      <c r="A11" s="47" t="s">
        <v>83</v>
      </c>
      <c r="B11" s="78"/>
      <c r="C11" s="79" t="s">
        <v>138</v>
      </c>
      <c r="D11" s="48" t="s">
        <v>92</v>
      </c>
      <c r="E11" s="62" t="s">
        <v>94</v>
      </c>
      <c r="F11" s="79" t="s">
        <v>144</v>
      </c>
      <c r="G11" s="48">
        <f>ROUND(12*300/365.25,1)</f>
        <v>9.9</v>
      </c>
      <c r="H11" s="75">
        <v>2.5</v>
      </c>
      <c r="I11" s="48">
        <f>ROUND(12*375/365.25,1)</f>
        <v>12.3</v>
      </c>
      <c r="J11" s="49">
        <v>4.5</v>
      </c>
      <c r="L11" s="2"/>
      <c r="O11" s="44"/>
      <c r="P11" s="3"/>
      <c r="Q11" s="3"/>
      <c r="R11" s="30"/>
      <c r="S11" s="5"/>
      <c r="T11" s="18"/>
    </row>
    <row r="12" spans="1:20" x14ac:dyDescent="0.25">
      <c r="A12" s="50" t="s">
        <v>84</v>
      </c>
      <c r="B12" s="41"/>
      <c r="C12" s="77" t="s">
        <v>140</v>
      </c>
      <c r="D12" s="51" t="s">
        <v>95</v>
      </c>
      <c r="E12" s="77" t="s">
        <v>139</v>
      </c>
      <c r="F12" s="77" t="s">
        <v>145</v>
      </c>
      <c r="G12" s="77" t="s">
        <v>131</v>
      </c>
      <c r="H12" s="77" t="s">
        <v>131</v>
      </c>
      <c r="I12" s="77">
        <f>13*12/52</f>
        <v>3</v>
      </c>
      <c r="J12" s="80">
        <v>3</v>
      </c>
      <c r="K12" t="s">
        <v>120</v>
      </c>
      <c r="M12" t="s">
        <v>121</v>
      </c>
      <c r="N12" t="s">
        <v>116</v>
      </c>
      <c r="O12" t="s">
        <v>69</v>
      </c>
      <c r="P12" s="4" t="s">
        <v>26</v>
      </c>
      <c r="Q12" s="4" t="s">
        <v>24</v>
      </c>
      <c r="R12" s="97" t="s">
        <v>62</v>
      </c>
      <c r="S12" s="5" t="s">
        <v>25</v>
      </c>
      <c r="T12" t="s">
        <v>77</v>
      </c>
    </row>
    <row r="13" spans="1:20" ht="15.75" thickBot="1" x14ac:dyDescent="0.3">
      <c r="A13" s="47" t="s">
        <v>84</v>
      </c>
      <c r="B13" s="78"/>
      <c r="C13" s="79" t="s">
        <v>141</v>
      </c>
      <c r="D13" s="48" t="s">
        <v>95</v>
      </c>
      <c r="E13" s="79" t="s">
        <v>139</v>
      </c>
      <c r="F13" s="79" t="s">
        <v>146</v>
      </c>
      <c r="G13" s="79" t="s">
        <v>131</v>
      </c>
      <c r="H13" s="79" t="s">
        <v>131</v>
      </c>
      <c r="I13" s="78">
        <v>3</v>
      </c>
      <c r="J13" s="81">
        <v>14</v>
      </c>
      <c r="K13" t="str">
        <f>" (Also considered "&amp;ROUND(62*(12/52),0)&amp;" and "&amp;ROUND(72*(12/52),0)</f>
        <v xml:space="preserve"> (Also considered 14 and 17</v>
      </c>
      <c r="O13" s="17"/>
      <c r="P13" s="6"/>
      <c r="Q13" s="7" t="s">
        <v>27</v>
      </c>
      <c r="R13" s="98"/>
      <c r="S13" s="8"/>
    </row>
    <row r="14" spans="1:20" x14ac:dyDescent="0.25">
      <c r="A14" t="s">
        <v>178</v>
      </c>
      <c r="C14" s="36" t="s">
        <v>134</v>
      </c>
      <c r="D14" s="36" t="s">
        <v>179</v>
      </c>
      <c r="E14" s="60" t="s">
        <v>94</v>
      </c>
      <c r="F14" s="36" t="s">
        <v>134</v>
      </c>
      <c r="G14">
        <v>5.0999999999999996</v>
      </c>
      <c r="H14">
        <v>6.3</v>
      </c>
      <c r="I14" t="s">
        <v>131</v>
      </c>
      <c r="J14" t="s">
        <v>131</v>
      </c>
    </row>
  </sheetData>
  <mergeCells count="2">
    <mergeCell ref="R8:R9"/>
    <mergeCell ref="R12:R13"/>
  </mergeCells>
  <hyperlinks>
    <hyperlink ref="Q3" r:id="rId1" display="https://www.nice.org.uk/guidance/ta396/documents/committee-papers" xr:uid="{76E92CB4-4C34-4444-81CF-22A7FD756016}"/>
    <hyperlink ref="Q7" r:id="rId2" xr:uid="{BB613C94-D6F6-44BC-AE83-E0752B3C72C5}"/>
    <hyperlink ref="Q12" r:id="rId3" display="https://www.nice.org.uk/guidance/ta650/documents/1-2" xr:uid="{4E8749E9-A614-44BC-A872-01B9C959700C}"/>
    <hyperlink ref="Q13" r:id="rId4" display="https://www.nice.org.uk/guidance/ta650/documents/1" xr:uid="{934D3B0B-1BCA-4EF8-ADAD-5023A5AB4951}"/>
    <hyperlink ref="P9" r:id="rId5" xr:uid="{93421C56-61B8-40A0-821E-82BFBF1C2ED4}"/>
    <hyperlink ref="N5" r:id="rId6" display="Y" xr:uid="{9983B7BD-3F5D-43F2-AFCC-9E87C27F05F9}"/>
    <hyperlink ref="N3" r:id="rId7" xr:uid="{2B8D2F09-C607-4446-853A-5A9185B6CDBE}"/>
    <hyperlink ref="N7" r:id="rId8" xr:uid="{304E94DD-62EC-44B9-9210-9D8C59CDD8FB}"/>
  </hyperlinks>
  <pageMargins left="0.7" right="0.7" top="0.75" bottom="0.75" header="0.3" footer="0.3"/>
  <pageSetup orientation="portrait" r:id="rId9"/>
  <legacyDrawing r:id="rId1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12291-CDDF-48D2-919C-882565DF0684}">
  <dimension ref="C1:D3"/>
  <sheetViews>
    <sheetView workbookViewId="0">
      <selection activeCell="P8" sqref="P8"/>
    </sheetView>
  </sheetViews>
  <sheetFormatPr defaultRowHeight="15" x14ac:dyDescent="0.25"/>
  <cols>
    <col min="3" max="3" width="26.28515625" customWidth="1"/>
  </cols>
  <sheetData>
    <row r="1" spans="3:4" x14ac:dyDescent="0.25">
      <c r="C1" t="s">
        <v>160</v>
      </c>
      <c r="D1" t="s">
        <v>159</v>
      </c>
    </row>
    <row r="2" spans="3:4" x14ac:dyDescent="0.25">
      <c r="C2" s="6" t="s">
        <v>9</v>
      </c>
      <c r="D2" s="7" t="s">
        <v>8</v>
      </c>
    </row>
    <row r="3" spans="3:4" x14ac:dyDescent="0.25">
      <c r="C3" s="3" t="s">
        <v>3</v>
      </c>
      <c r="D3" s="4" t="s">
        <v>1</v>
      </c>
    </row>
  </sheetData>
  <hyperlinks>
    <hyperlink ref="D2" r:id="rId1" xr:uid="{027F39E6-D875-4473-8FE9-51AA425B9290}"/>
    <hyperlink ref="D3" r:id="rId2" xr:uid="{55718302-68EB-414B-888C-91D0200C0C0E}"/>
  </hyperlinks>
  <pageMargins left="0.7" right="0.7" top="0.75" bottom="0.75" header="0.3" footer="0.3"/>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6E5BF6-8255-4E9F-9D11-50AC1C31AF33}">
  <sheetPr>
    <tabColor rgb="FF00B050"/>
  </sheetPr>
  <dimension ref="B2:Y23"/>
  <sheetViews>
    <sheetView topLeftCell="F25" zoomScale="130" zoomScaleNormal="130" workbookViewId="0">
      <selection activeCell="B2" sqref="B2"/>
    </sheetView>
  </sheetViews>
  <sheetFormatPr defaultRowHeight="15" x14ac:dyDescent="0.25"/>
  <cols>
    <col min="2" max="2" width="58.42578125" customWidth="1"/>
  </cols>
  <sheetData>
    <row r="2" spans="2:14" x14ac:dyDescent="0.25">
      <c r="B2" s="4" t="s">
        <v>33</v>
      </c>
      <c r="C2" s="3" t="s">
        <v>34</v>
      </c>
      <c r="N2" t="s">
        <v>167</v>
      </c>
    </row>
    <row r="3" spans="2:14" x14ac:dyDescent="0.25">
      <c r="B3" s="7" t="s">
        <v>36</v>
      </c>
      <c r="C3" s="6" t="s">
        <v>35</v>
      </c>
    </row>
    <row r="4" spans="2:14" x14ac:dyDescent="0.25">
      <c r="B4" s="1" t="s">
        <v>169</v>
      </c>
      <c r="C4" t="s">
        <v>168</v>
      </c>
    </row>
    <row r="22" spans="25:25" x14ac:dyDescent="0.25">
      <c r="Y22">
        <f>770/365.25</f>
        <v>2.108145106091718</v>
      </c>
    </row>
    <row r="23" spans="25:25" x14ac:dyDescent="0.25">
      <c r="Y23">
        <f>Y22*12</f>
        <v>25.297741273100616</v>
      </c>
    </row>
  </sheetData>
  <hyperlinks>
    <hyperlink ref="B3" r:id="rId1" xr:uid="{3B43914B-AFDA-48C4-A5C7-47DCC388BF75}"/>
    <hyperlink ref="B2" r:id="rId2" xr:uid="{6EEC127E-C537-44FB-B447-370AFB3990D5}"/>
    <hyperlink ref="B4" r:id="rId3" xr:uid="{7EF42CE7-14CA-4CB2-8D15-BB43C314D522}"/>
  </hyperlinks>
  <pageMargins left="0.7" right="0.7" top="0.75" bottom="0.75" header="0.3" footer="0.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9444B2-219E-4120-B4D0-519672D2AC3E}">
  <sheetPr>
    <tabColor rgb="FF00B050"/>
  </sheetPr>
  <dimension ref="B2:C4"/>
  <sheetViews>
    <sheetView zoomScale="70" zoomScaleNormal="70" workbookViewId="0">
      <selection activeCell="P5" sqref="P5"/>
    </sheetView>
  </sheetViews>
  <sheetFormatPr defaultRowHeight="15" x14ac:dyDescent="0.25"/>
  <sheetData>
    <row r="2" spans="2:3" x14ac:dyDescent="0.25">
      <c r="B2" t="s">
        <v>163</v>
      </c>
      <c r="C2" s="1" t="s">
        <v>162</v>
      </c>
    </row>
    <row r="3" spans="2:3" x14ac:dyDescent="0.25">
      <c r="B3" t="s">
        <v>165</v>
      </c>
      <c r="C3" s="1" t="s">
        <v>166</v>
      </c>
    </row>
    <row r="4" spans="2:3" x14ac:dyDescent="0.25">
      <c r="B4" t="s">
        <v>164</v>
      </c>
    </row>
  </sheetData>
  <hyperlinks>
    <hyperlink ref="C2" r:id="rId1" xr:uid="{4F4B44D6-3218-4D48-A6D5-2DFC56CCE417}"/>
    <hyperlink ref="C3" r:id="rId2" display="https://www.nejm.org/doi/pdf/10.1056/NEJMoa1103782?articleTools=true" xr:uid="{85CBC973-01FF-4AB7-9101-6F1F49D11C0F}"/>
  </hyperlinks>
  <pageMargins left="0.7" right="0.7" top="0.75" bottom="0.75" header="0.3" footer="0.3"/>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FE3996-CABA-4ED2-9B07-F3456F6FE842}">
  <dimension ref="B3:C3"/>
  <sheetViews>
    <sheetView topLeftCell="A10" workbookViewId="0">
      <selection activeCell="C5" sqref="C5"/>
    </sheetView>
  </sheetViews>
  <sheetFormatPr defaultRowHeight="15" x14ac:dyDescent="0.25"/>
  <sheetData>
    <row r="3" spans="2:3" x14ac:dyDescent="0.25">
      <c r="B3" s="11" t="s">
        <v>5</v>
      </c>
      <c r="C3" s="12"/>
    </row>
  </sheetData>
  <hyperlinks>
    <hyperlink ref="B3" r:id="rId1" xr:uid="{E0A25AE0-CE4E-431D-B156-1D184A04FA03}"/>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25</vt:i4>
      </vt:variant>
    </vt:vector>
  </HeadingPairs>
  <TitlesOfParts>
    <vt:vector size="25" baseType="lpstr">
      <vt:lpstr>TA_Final (2)</vt:lpstr>
      <vt:lpstr>TA_Final</vt:lpstr>
      <vt:lpstr>TA_Include</vt:lpstr>
      <vt:lpstr>TA_Include_tidy_backup</vt:lpstr>
      <vt:lpstr>TA_Include_tidy</vt:lpstr>
      <vt:lpstr>TA259</vt:lpstr>
      <vt:lpstr>TA268</vt:lpstr>
      <vt:lpstr>TA269</vt:lpstr>
      <vt:lpstr>TA285</vt:lpstr>
      <vt:lpstr>TA347</vt:lpstr>
      <vt:lpstr>TA319</vt:lpstr>
      <vt:lpstr>TA357</vt:lpstr>
      <vt:lpstr>TA366</vt:lpstr>
      <vt:lpstr>TA374</vt:lpstr>
      <vt:lpstr>TA384</vt:lpstr>
      <vt:lpstr>TA396</vt:lpstr>
      <vt:lpstr>TA400</vt:lpstr>
      <vt:lpstr>TA414</vt:lpstr>
      <vt:lpstr>TA417</vt:lpstr>
      <vt:lpstr>TA428</vt:lpstr>
      <vt:lpstr>TA476</vt:lpstr>
      <vt:lpstr>TA447</vt:lpstr>
      <vt:lpstr>TA650</vt:lpstr>
      <vt:lpstr>Comparison Gorrod</vt:lpstr>
      <vt:lpstr>Final_TAs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Philip Cooney</dc:creator>
  <cp:lastModifiedBy>Philip Cooney</cp:lastModifiedBy>
  <dcterms:created xsi:type="dcterms:W3CDTF">2022-05-11T08:10:08Z</dcterms:created>
  <dcterms:modified xsi:type="dcterms:W3CDTF">2023-02-17T16:54:50Z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3c9bec58-8084-492e-8360-0e1cfe36408c_Enabled">
    <vt:lpwstr>true</vt:lpwstr>
  </property>
  <property fmtid="{D5CDD505-2E9C-101B-9397-08002B2CF9AE}" pid="3" name="MSIP_Label_3c9bec58-8084-492e-8360-0e1cfe36408c_SetDate">
    <vt:lpwstr>2022-05-11T11:44:42Z</vt:lpwstr>
  </property>
  <property fmtid="{D5CDD505-2E9C-101B-9397-08002B2CF9AE}" pid="4" name="MSIP_Label_3c9bec58-8084-492e-8360-0e1cfe36408c_Method">
    <vt:lpwstr>Standard</vt:lpwstr>
  </property>
  <property fmtid="{D5CDD505-2E9C-101B-9397-08002B2CF9AE}" pid="5" name="MSIP_Label_3c9bec58-8084-492e-8360-0e1cfe36408c_Name">
    <vt:lpwstr>Not Protected -Pilot</vt:lpwstr>
  </property>
  <property fmtid="{D5CDD505-2E9C-101B-9397-08002B2CF9AE}" pid="6" name="MSIP_Label_3c9bec58-8084-492e-8360-0e1cfe36408c_SiteId">
    <vt:lpwstr>f35a6974-607f-47d4-82d7-ff31d7dc53a5</vt:lpwstr>
  </property>
  <property fmtid="{D5CDD505-2E9C-101B-9397-08002B2CF9AE}" pid="7" name="MSIP_Label_3c9bec58-8084-492e-8360-0e1cfe36408c_ActionId">
    <vt:lpwstr>7c6886c7-7a43-4921-aa48-3e43f7c70dd0</vt:lpwstr>
  </property>
  <property fmtid="{D5CDD505-2E9C-101B-9397-08002B2CF9AE}" pid="8" name="MSIP_Label_3c9bec58-8084-492e-8360-0e1cfe36408c_ContentBits">
    <vt:lpwstr>0</vt:lpwstr>
  </property>
</Properties>
</file>